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unioulu.sharepoint.com/sites/EVISAinternalchannel/Shared Documents/Eveliina - Finalised material/EVISA tools/_NIKO_ENG-FIN/FIN/"/>
    </mc:Choice>
  </mc:AlternateContent>
  <xr:revisionPtr revIDLastSave="5" documentId="8_{888A155F-A5C0-4379-BAA9-11C9F3A531CC}" xr6:coauthVersionLast="47" xr6:coauthVersionMax="47" xr10:uidLastSave="{FD0ECD0C-D2AC-4827-8DB1-0EF4C77713A6}"/>
  <bookViews>
    <workbookView xWindow="-110" yWindow="-110" windowWidth="19420" windowHeight="11020" xr2:uid="{BD5EF00B-ABBC-4F70-9504-7E83EBE3C77F}"/>
  </bookViews>
  <sheets>
    <sheet name="EVISA_calculator_ENG"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3" i="3" l="1"/>
  <c r="F25" i="3" l="1"/>
  <c r="F29" i="3" l="1"/>
  <c r="F53" i="3"/>
  <c r="F22" i="3"/>
  <c r="D129" i="3" l="1"/>
  <c r="D110" i="3" l="1"/>
  <c r="F36" i="3" l="1"/>
  <c r="C125" i="3" l="1"/>
  <c r="F41" i="3" l="1"/>
  <c r="B129" i="3" l="1"/>
  <c r="F128" i="3"/>
  <c r="C128" i="3"/>
  <c r="F127" i="3"/>
  <c r="C127" i="3"/>
  <c r="F126" i="3"/>
  <c r="C126" i="3"/>
  <c r="F125" i="3"/>
  <c r="F124" i="3"/>
  <c r="C124" i="3"/>
  <c r="F123" i="3"/>
  <c r="C123" i="3"/>
  <c r="F122" i="3"/>
  <c r="C122" i="3"/>
  <c r="F121" i="3"/>
  <c r="C121" i="3"/>
  <c r="F120" i="3"/>
  <c r="C120" i="3"/>
  <c r="F119" i="3"/>
  <c r="C119" i="3"/>
  <c r="F118" i="3"/>
  <c r="C118" i="3"/>
  <c r="F117" i="3"/>
  <c r="C117" i="3"/>
  <c r="D102" i="3"/>
  <c r="L60" i="3"/>
  <c r="L61" i="3" s="1"/>
  <c r="L62" i="3" s="1"/>
  <c r="L63" i="3" s="1"/>
  <c r="L64" i="3" s="1"/>
  <c r="L65" i="3" s="1"/>
  <c r="L66" i="3" s="1"/>
  <c r="L67" i="3" s="1"/>
  <c r="L68" i="3" s="1"/>
  <c r="L69" i="3" s="1"/>
  <c r="L70" i="3" s="1"/>
  <c r="L71" i="3" s="1"/>
  <c r="L72" i="3" s="1"/>
  <c r="L73" i="3" s="1"/>
  <c r="L74" i="3" s="1"/>
  <c r="L75" i="3" s="1"/>
  <c r="L76" i="3" s="1"/>
  <c r="L77" i="3" s="1"/>
  <c r="L78" i="3" s="1"/>
  <c r="L79" i="3" s="1"/>
  <c r="L80" i="3" s="1"/>
  <c r="L81" i="3" s="1"/>
  <c r="L82" i="3" s="1"/>
  <c r="L83" i="3" s="1"/>
  <c r="L84" i="3" s="1"/>
  <c r="L85" i="3" s="1"/>
  <c r="L86" i="3" s="1"/>
  <c r="L87" i="3" s="1"/>
  <c r="L88" i="3" s="1"/>
  <c r="L89" i="3" s="1"/>
  <c r="E60" i="3"/>
  <c r="R59" i="3"/>
  <c r="F45" i="3"/>
  <c r="F59" i="3" s="1"/>
  <c r="J89" i="3" l="1"/>
  <c r="K89" i="3" s="1"/>
  <c r="F47" i="3"/>
  <c r="G60" i="3" s="1"/>
  <c r="F18" i="3"/>
  <c r="E118" i="3" s="1"/>
  <c r="J76" i="3"/>
  <c r="J61" i="3"/>
  <c r="J69" i="3"/>
  <c r="J77" i="3"/>
  <c r="J62" i="3"/>
  <c r="J70" i="3"/>
  <c r="J78" i="3"/>
  <c r="C129" i="3"/>
  <c r="J63" i="3"/>
  <c r="J71" i="3"/>
  <c r="J80" i="3"/>
  <c r="K80" i="3" s="1"/>
  <c r="J68" i="3"/>
  <c r="J64" i="3"/>
  <c r="J72" i="3"/>
  <c r="J82" i="3"/>
  <c r="K82" i="3" s="1"/>
  <c r="J65" i="3"/>
  <c r="J73" i="3"/>
  <c r="J84" i="3"/>
  <c r="K84" i="3" s="1"/>
  <c r="J66" i="3"/>
  <c r="J74" i="3"/>
  <c r="J86" i="3"/>
  <c r="K86" i="3" s="1"/>
  <c r="J60" i="3"/>
  <c r="J67" i="3"/>
  <c r="J75" i="3"/>
  <c r="J88" i="3"/>
  <c r="K88" i="3" s="1"/>
  <c r="D105" i="3"/>
  <c r="B60" i="3"/>
  <c r="D106" i="3"/>
  <c r="J79" i="3"/>
  <c r="K79" i="3" s="1"/>
  <c r="J81" i="3"/>
  <c r="K81" i="3" s="1"/>
  <c r="J83" i="3"/>
  <c r="K83" i="3" s="1"/>
  <c r="J85" i="3"/>
  <c r="K85" i="3" s="1"/>
  <c r="J87" i="3"/>
  <c r="K87" i="3" s="1"/>
  <c r="H127" i="3"/>
  <c r="I127" i="3" s="1"/>
  <c r="L127" i="3" s="1"/>
  <c r="H122" i="3"/>
  <c r="J122" i="3" s="1"/>
  <c r="F50" i="3" l="1"/>
  <c r="F60" i="3" s="1"/>
  <c r="K60" i="3" s="1"/>
  <c r="H59" i="3"/>
  <c r="I59" i="3" s="1"/>
  <c r="K59" i="3" s="1"/>
  <c r="O59" i="3" s="1"/>
  <c r="E122" i="3"/>
  <c r="K122" i="3" s="1"/>
  <c r="E126" i="3"/>
  <c r="K126" i="3" s="1"/>
  <c r="E120" i="3"/>
  <c r="K120" i="3" s="1"/>
  <c r="E124" i="3"/>
  <c r="K124" i="3" s="1"/>
  <c r="E119" i="3"/>
  <c r="K119" i="3" s="1"/>
  <c r="E127" i="3"/>
  <c r="K127" i="3" s="1"/>
  <c r="E125" i="3"/>
  <c r="K125" i="3" s="1"/>
  <c r="E123" i="3"/>
  <c r="K123" i="3" s="1"/>
  <c r="C60" i="3"/>
  <c r="D60" i="3" s="1"/>
  <c r="E117" i="3"/>
  <c r="K117" i="3" s="1"/>
  <c r="E128" i="3"/>
  <c r="K128" i="3" s="1"/>
  <c r="E121" i="3"/>
  <c r="K121" i="3" s="1"/>
  <c r="I122" i="3"/>
  <c r="L122" i="3" s="1"/>
  <c r="H128" i="3"/>
  <c r="J128" i="3" s="1"/>
  <c r="M60" i="3"/>
  <c r="B61" i="3"/>
  <c r="H126" i="3"/>
  <c r="J126" i="3" s="1"/>
  <c r="H118" i="3"/>
  <c r="J118" i="3" s="1"/>
  <c r="K118" i="3"/>
  <c r="H125" i="3"/>
  <c r="J125" i="3" s="1"/>
  <c r="H124" i="3"/>
  <c r="J124" i="3" s="1"/>
  <c r="H120" i="3"/>
  <c r="J120" i="3" s="1"/>
  <c r="H121" i="3"/>
  <c r="J121" i="3" s="1"/>
  <c r="J127" i="3"/>
  <c r="H117" i="3"/>
  <c r="G129" i="3"/>
  <c r="D131" i="3" s="1"/>
  <c r="H119" i="3"/>
  <c r="J119" i="3" s="1"/>
  <c r="H123" i="3"/>
  <c r="J123" i="3" s="1"/>
  <c r="J90" i="3"/>
  <c r="H60" i="3" l="1"/>
  <c r="E61" i="3" s="1"/>
  <c r="F61" i="3" s="1"/>
  <c r="H61" i="3" s="1"/>
  <c r="E62" i="3" s="1"/>
  <c r="F62" i="3" s="1"/>
  <c r="G62" i="3" s="1"/>
  <c r="C61" i="3"/>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N60" i="3"/>
  <c r="I126" i="3"/>
  <c r="L126" i="3" s="1"/>
  <c r="I120" i="3"/>
  <c r="L120" i="3" s="1"/>
  <c r="I124" i="3"/>
  <c r="L124" i="3" s="1"/>
  <c r="K129" i="3"/>
  <c r="I118" i="3"/>
  <c r="L118" i="3" s="1"/>
  <c r="H129" i="3"/>
  <c r="J117" i="3"/>
  <c r="J129" i="3" s="1"/>
  <c r="M61" i="3"/>
  <c r="B62" i="3"/>
  <c r="I128" i="3"/>
  <c r="L128" i="3" s="1"/>
  <c r="P59" i="3"/>
  <c r="I117" i="3"/>
  <c r="I125" i="3"/>
  <c r="L125" i="3" s="1"/>
  <c r="I123" i="3"/>
  <c r="L123" i="3" s="1"/>
  <c r="I121" i="3"/>
  <c r="L121" i="3" s="1"/>
  <c r="I119" i="3"/>
  <c r="L119" i="3" s="1"/>
  <c r="G61" i="3" l="1"/>
  <c r="K61" i="3" s="1"/>
  <c r="E98" i="3"/>
  <c r="D61" i="3"/>
  <c r="N61" i="3" s="1"/>
  <c r="H62" i="3"/>
  <c r="E63" i="3" s="1"/>
  <c r="F63" i="3" s="1"/>
  <c r="G63" i="3" s="1"/>
  <c r="I129" i="3"/>
  <c r="D132" i="3" s="1"/>
  <c r="L117" i="3"/>
  <c r="L129" i="3" s="1"/>
  <c r="O60" i="3"/>
  <c r="P60" i="3" s="1"/>
  <c r="B63" i="3"/>
  <c r="M62" i="3"/>
  <c r="D62" i="3"/>
  <c r="K62" i="3"/>
  <c r="O61" i="3" l="1"/>
  <c r="Q61" i="3" s="1"/>
  <c r="R61" i="3" s="1"/>
  <c r="H63" i="3"/>
  <c r="E64" i="3" s="1"/>
  <c r="F64" i="3" s="1"/>
  <c r="G64" i="3" s="1"/>
  <c r="Q60" i="3"/>
  <c r="R60" i="3" s="1"/>
  <c r="D63" i="3"/>
  <c r="B64" i="3"/>
  <c r="M63" i="3"/>
  <c r="N62" i="3"/>
  <c r="K63" i="3"/>
  <c r="P61" i="3" l="1"/>
  <c r="O62" i="3"/>
  <c r="M64" i="3"/>
  <c r="B65" i="3"/>
  <c r="D64" i="3"/>
  <c r="N63" i="3"/>
  <c r="O63" i="3" s="1"/>
  <c r="K64" i="3"/>
  <c r="H64" i="3"/>
  <c r="E65" i="3" s="1"/>
  <c r="M65" i="3" l="1"/>
  <c r="B66" i="3"/>
  <c r="D65" i="3"/>
  <c r="F65" i="3"/>
  <c r="P62" i="3"/>
  <c r="P63" i="3" s="1"/>
  <c r="Q63" i="3"/>
  <c r="R63" i="3" s="1"/>
  <c r="Q62" i="3"/>
  <c r="R62" i="3" s="1"/>
  <c r="N64" i="3"/>
  <c r="N65" i="3" l="1"/>
  <c r="H65" i="3"/>
  <c r="E66" i="3" s="1"/>
  <c r="G65" i="3"/>
  <c r="K65" i="3" s="1"/>
  <c r="M66" i="3"/>
  <c r="B67" i="3"/>
  <c r="D66" i="3"/>
  <c r="O64" i="3"/>
  <c r="O65" i="3" l="1"/>
  <c r="Q65" i="3" s="1"/>
  <c r="R65" i="3" s="1"/>
  <c r="Q64" i="3"/>
  <c r="R64" i="3" s="1"/>
  <c r="N66" i="3"/>
  <c r="F66" i="3"/>
  <c r="H66" i="3" s="1"/>
  <c r="E67" i="3" s="1"/>
  <c r="D67" i="3"/>
  <c r="B68" i="3"/>
  <c r="M67" i="3"/>
  <c r="P64" i="3"/>
  <c r="P65" i="3" l="1"/>
  <c r="F67" i="3"/>
  <c r="G66" i="3"/>
  <c r="K66" i="3" s="1"/>
  <c r="O66" i="3" s="1"/>
  <c r="M68" i="3"/>
  <c r="D68" i="3"/>
  <c r="B69" i="3"/>
  <c r="N67" i="3"/>
  <c r="Q66" i="3" l="1"/>
  <c r="R66" i="3" s="1"/>
  <c r="P66" i="3"/>
  <c r="H67" i="3"/>
  <c r="E68" i="3" s="1"/>
  <c r="M69" i="3"/>
  <c r="B70" i="3"/>
  <c r="D69" i="3"/>
  <c r="N68" i="3"/>
  <c r="G67" i="3"/>
  <c r="K67" i="3" s="1"/>
  <c r="O67" i="3" s="1"/>
  <c r="Q67" i="3" s="1"/>
  <c r="R67" i="3" s="1"/>
  <c r="N69" i="3" l="1"/>
  <c r="F68" i="3"/>
  <c r="H68" i="3" s="1"/>
  <c r="E69" i="3" s="1"/>
  <c r="M70" i="3"/>
  <c r="D70" i="3"/>
  <c r="B71" i="3"/>
  <c r="P67" i="3"/>
  <c r="N70" i="3" l="1"/>
  <c r="F69" i="3"/>
  <c r="G68" i="3"/>
  <c r="K68" i="3" s="1"/>
  <c r="O68" i="3" s="1"/>
  <c r="D71" i="3"/>
  <c r="B72" i="3"/>
  <c r="M71" i="3"/>
  <c r="N71" i="3" l="1"/>
  <c r="Q68" i="3"/>
  <c r="R68" i="3" s="1"/>
  <c r="P68" i="3"/>
  <c r="H69" i="3"/>
  <c r="E70" i="3" s="1"/>
  <c r="M72" i="3"/>
  <c r="D72" i="3"/>
  <c r="B73" i="3"/>
  <c r="G69" i="3"/>
  <c r="K69" i="3" s="1"/>
  <c r="O69" i="3" s="1"/>
  <c r="Q69" i="3" s="1"/>
  <c r="R69" i="3" s="1"/>
  <c r="N72" i="3" l="1"/>
  <c r="M73" i="3"/>
  <c r="D73" i="3"/>
  <c r="B74" i="3"/>
  <c r="F70" i="3"/>
  <c r="G70" i="3" s="1"/>
  <c r="H70" i="3"/>
  <c r="E71" i="3" s="1"/>
  <c r="P69" i="3"/>
  <c r="N73" i="3" l="1"/>
  <c r="K70" i="3"/>
  <c r="O70" i="3" s="1"/>
  <c r="Q70" i="3" s="1"/>
  <c r="R70" i="3" s="1"/>
  <c r="F71" i="3"/>
  <c r="G71" i="3" s="1"/>
  <c r="H71" i="3"/>
  <c r="E72" i="3" s="1"/>
  <c r="M74" i="3"/>
  <c r="D74" i="3"/>
  <c r="B75" i="3"/>
  <c r="P70" i="3" l="1"/>
  <c r="M75" i="3"/>
  <c r="D75" i="3"/>
  <c r="B76" i="3"/>
  <c r="H72" i="3"/>
  <c r="E73" i="3" s="1"/>
  <c r="F72" i="3"/>
  <c r="N74" i="3"/>
  <c r="K71" i="3"/>
  <c r="O71" i="3" s="1"/>
  <c r="Q71" i="3" s="1"/>
  <c r="R71" i="3" s="1"/>
  <c r="G72" i="3" l="1"/>
  <c r="K72" i="3" s="1"/>
  <c r="O72" i="3" s="1"/>
  <c r="Q72" i="3" s="1"/>
  <c r="R72" i="3" s="1"/>
  <c r="N75" i="3"/>
  <c r="F73" i="3"/>
  <c r="G73" i="3" s="1"/>
  <c r="H73" i="3"/>
  <c r="E74" i="3" s="1"/>
  <c r="M76" i="3"/>
  <c r="D76" i="3"/>
  <c r="B77" i="3"/>
  <c r="P71" i="3"/>
  <c r="K73" i="3" l="1"/>
  <c r="O73" i="3" s="1"/>
  <c r="Q73" i="3" s="1"/>
  <c r="R73" i="3" s="1"/>
  <c r="P72" i="3"/>
  <c r="M77" i="3"/>
  <c r="D77" i="3"/>
  <c r="B78" i="3"/>
  <c r="N76" i="3"/>
  <c r="H74" i="3"/>
  <c r="E75" i="3" s="1"/>
  <c r="F74" i="3"/>
  <c r="G74" i="3" s="1"/>
  <c r="P73" i="3" l="1"/>
  <c r="K74" i="3"/>
  <c r="O74" i="3" s="1"/>
  <c r="Q74" i="3" s="1"/>
  <c r="R74" i="3" s="1"/>
  <c r="F75" i="3"/>
  <c r="G75" i="3" s="1"/>
  <c r="H75" i="3"/>
  <c r="E76" i="3" s="1"/>
  <c r="M78" i="3"/>
  <c r="D78" i="3"/>
  <c r="B79" i="3"/>
  <c r="N77" i="3"/>
  <c r="N78" i="3" l="1"/>
  <c r="P74" i="3"/>
  <c r="K75" i="3"/>
  <c r="O75" i="3" s="1"/>
  <c r="Q75" i="3" s="1"/>
  <c r="R75" i="3" s="1"/>
  <c r="D79" i="3"/>
  <c r="M79" i="3"/>
  <c r="B80" i="3"/>
  <c r="H76" i="3"/>
  <c r="E77" i="3" s="1"/>
  <c r="F76" i="3"/>
  <c r="G76" i="3" s="1"/>
  <c r="K76" i="3" l="1"/>
  <c r="O76" i="3" s="1"/>
  <c r="Q76" i="3" s="1"/>
  <c r="R76" i="3" s="1"/>
  <c r="P75" i="3"/>
  <c r="H77" i="3"/>
  <c r="E78" i="3" s="1"/>
  <c r="F77" i="3"/>
  <c r="G77" i="3" s="1"/>
  <c r="M80" i="3"/>
  <c r="B81" i="3"/>
  <c r="D80" i="3"/>
  <c r="N79" i="3"/>
  <c r="O79" i="3" s="1"/>
  <c r="K77" i="3" l="1"/>
  <c r="O77" i="3" s="1"/>
  <c r="Q77" i="3" s="1"/>
  <c r="R77" i="3" s="1"/>
  <c r="P76" i="3"/>
  <c r="N80" i="3"/>
  <c r="O80" i="3" s="1"/>
  <c r="D81" i="3"/>
  <c r="M81" i="3"/>
  <c r="B82" i="3"/>
  <c r="H78" i="3"/>
  <c r="F78" i="3"/>
  <c r="G78" i="3" s="1"/>
  <c r="G90" i="3" s="1"/>
  <c r="P77" i="3" l="1"/>
  <c r="K78" i="3"/>
  <c r="K90" i="3" s="1"/>
  <c r="M82" i="3"/>
  <c r="B83" i="3"/>
  <c r="D82" i="3"/>
  <c r="N81" i="3"/>
  <c r="O81" i="3" s="1"/>
  <c r="N82" i="3" l="1"/>
  <c r="O82" i="3" s="1"/>
  <c r="O78" i="3"/>
  <c r="P78" i="3" s="1"/>
  <c r="P79" i="3" s="1"/>
  <c r="P80" i="3" s="1"/>
  <c r="P81" i="3" s="1"/>
  <c r="D83" i="3"/>
  <c r="M83" i="3"/>
  <c r="B84" i="3"/>
  <c r="P82" i="3" l="1"/>
  <c r="Q79" i="3"/>
  <c r="R79" i="3" s="1"/>
  <c r="Q80" i="3"/>
  <c r="R80" i="3" s="1"/>
  <c r="Q82" i="3"/>
  <c r="R82" i="3" s="1"/>
  <c r="Q78" i="3"/>
  <c r="R78" i="3" s="1"/>
  <c r="Q81" i="3"/>
  <c r="R81" i="3" s="1"/>
  <c r="N83" i="3"/>
  <c r="O83" i="3" s="1"/>
  <c r="Q83" i="3" s="1"/>
  <c r="R83" i="3" s="1"/>
  <c r="M84" i="3"/>
  <c r="B85" i="3"/>
  <c r="D84" i="3"/>
  <c r="N84" i="3" l="1"/>
  <c r="O84" i="3" s="1"/>
  <c r="Q84" i="3" s="1"/>
  <c r="R84" i="3" s="1"/>
  <c r="P83" i="3"/>
  <c r="D85" i="3"/>
  <c r="M85" i="3"/>
  <c r="B86" i="3"/>
  <c r="P84" i="3" l="1"/>
  <c r="M86" i="3"/>
  <c r="B87" i="3"/>
  <c r="D86" i="3"/>
  <c r="N85" i="3"/>
  <c r="O85" i="3" s="1"/>
  <c r="Q85" i="3" s="1"/>
  <c r="R85" i="3" s="1"/>
  <c r="P85" i="3" l="1"/>
  <c r="N86" i="3"/>
  <c r="O86" i="3" s="1"/>
  <c r="Q86" i="3" s="1"/>
  <c r="R86" i="3" s="1"/>
  <c r="D87" i="3"/>
  <c r="M87" i="3"/>
  <c r="B88" i="3"/>
  <c r="M88" i="3" l="1"/>
  <c r="B89" i="3"/>
  <c r="D88" i="3"/>
  <c r="N87" i="3"/>
  <c r="O87" i="3" s="1"/>
  <c r="Q87" i="3" s="1"/>
  <c r="R87" i="3" s="1"/>
  <c r="P86" i="3"/>
  <c r="P87" i="3" l="1"/>
  <c r="N88" i="3"/>
  <c r="O88" i="3" s="1"/>
  <c r="Q88" i="3" s="1"/>
  <c r="R88" i="3" s="1"/>
  <c r="R90" i="3" s="1"/>
  <c r="E94" i="3" s="1"/>
  <c r="F31" i="3" s="1"/>
  <c r="D89" i="3"/>
  <c r="M89" i="3"/>
  <c r="M90" i="3" s="1"/>
  <c r="B90" i="3"/>
  <c r="E97" i="3" s="1"/>
  <c r="N89" i="3" l="1"/>
  <c r="D90" i="3"/>
  <c r="P88" i="3"/>
  <c r="O89" i="3" l="1"/>
  <c r="N90" i="3"/>
  <c r="Q89" i="3" l="1"/>
  <c r="E95" i="3"/>
  <c r="P89" i="3"/>
  <c r="E93" i="3" l="1"/>
  <c r="R8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Victor Pavlov</author>
    <author>Rummukainen Miika</author>
    <author/>
  </authors>
  <commentList>
    <comment ref="A14" authorId="0" shapeId="0" xr:uid="{03AE6949-486A-4167-8F9E-CA7DCDD734E9}">
      <text>
        <r>
          <rPr>
            <sz val="11"/>
            <color theme="1"/>
            <rFont val="Calibri"/>
            <family val="2"/>
            <scheme val="minor"/>
          </rPr>
          <t>Etsi tämä sähkölaskusta</t>
        </r>
      </text>
    </comment>
    <comment ref="A15" authorId="0" shapeId="0" xr:uid="{787E8EAF-EE8E-4CDF-9F5B-8871E0F3614F}">
      <text>
        <r>
          <rPr>
            <sz val="9"/>
            <color indexed="81"/>
            <rFont val="Tahoma"/>
            <family val="2"/>
          </rPr>
          <t>Myös tämä löytyy sähkölaskusta</t>
        </r>
      </text>
    </comment>
    <comment ref="A18" authorId="0" shapeId="0" xr:uid="{3E3B2342-E6B6-48B8-B99C-AB3F07F11F13}">
      <text>
        <r>
          <rPr>
            <sz val="9"/>
            <color indexed="81"/>
            <rFont val="Tahoma"/>
            <family val="2"/>
          </rPr>
          <t>Tämä on automaattisesti laskettu tulos</t>
        </r>
      </text>
    </comment>
    <comment ref="F18" authorId="0" shapeId="0" xr:uid="{547E7EAE-3CC6-4B47-89F4-2905C4D59126}">
      <text>
        <r>
          <rPr>
            <sz val="9"/>
            <color indexed="81"/>
            <rFont val="Tahoma"/>
            <family val="2"/>
          </rPr>
          <t>Tämä on automaattisesti laskettu tulos</t>
        </r>
      </text>
    </comment>
    <comment ref="A21" authorId="0" shapeId="0" xr:uid="{0928EFCA-4115-4E5C-9770-4714E1759971}">
      <text>
        <r>
          <rPr>
            <sz val="9"/>
            <color indexed="81"/>
            <rFont val="Tahoma"/>
            <family val="2"/>
          </rPr>
          <t>Kuinka paljon sataman sähköstä voidaan korvata paikallisella tuotetulla aurinkoenergialla?</t>
        </r>
      </text>
    </comment>
    <comment ref="F21" authorId="0" shapeId="0" xr:uid="{D13A202E-89A4-486B-AF75-4CAABD8EB960}">
      <text>
        <r>
          <rPr>
            <sz val="11"/>
            <color theme="1"/>
            <rFont val="Calibri"/>
            <family val="2"/>
            <scheme val="minor"/>
          </rPr>
          <t>Kirjoita tänne sen osuus vuosittaisesta sähkönkulutuksesta: 0-100%.</t>
        </r>
      </text>
    </comment>
    <comment ref="A22" authorId="0" shapeId="0" xr:uid="{D150BE1E-3741-4A7D-9C86-842AA7411547}">
      <text>
        <r>
          <rPr>
            <sz val="9"/>
            <color indexed="81"/>
            <rFont val="Tahoma"/>
            <family val="2"/>
          </rPr>
          <t>Tämä on automaattisesti laskettu tulos</t>
        </r>
      </text>
    </comment>
    <comment ref="F22" authorId="0" shapeId="0" xr:uid="{26FA424D-D513-4831-B2A5-D032939E68C3}">
      <text>
        <r>
          <rPr>
            <sz val="9"/>
            <color indexed="81"/>
            <rFont val="Tahoma"/>
            <family val="2"/>
          </rPr>
          <t>Tämä on automaattisesti laskettu tulos</t>
        </r>
      </text>
    </comment>
    <comment ref="A25" authorId="0" shapeId="0" xr:uid="{DDAD0EA5-E16D-4A95-A215-86762416FF8F}">
      <text>
        <r>
          <rPr>
            <sz val="9"/>
            <color indexed="81"/>
            <rFont val="Tahoma"/>
            <family val="2"/>
          </rPr>
          <t>Tämä on automaattisesti laskettu tulos</t>
        </r>
      </text>
    </comment>
    <comment ref="F25" authorId="0" shapeId="0" xr:uid="{489C5912-1A77-4DE4-9B83-0FA2A3A45271}">
      <text>
        <r>
          <rPr>
            <sz val="9"/>
            <color indexed="81"/>
            <rFont val="Tahoma"/>
            <family val="2"/>
          </rPr>
          <t>Tämä on automaattisesti laskettu tulos</t>
        </r>
      </text>
    </comment>
    <comment ref="A26" authorId="0" shapeId="0" xr:uid="{E180D94D-C50A-4C63-81C7-B826DAB455A0}">
      <text>
        <r>
          <rPr>
            <sz val="11"/>
            <color theme="1"/>
            <rFont val="Calibri"/>
            <family val="2"/>
            <scheme val="minor"/>
          </rPr>
          <t>Valitse parhaiten sovelutva pinta-ala: kokeile eri arvoja parhaimman takaisinmaksuajan löytämiseksi</t>
        </r>
      </text>
    </comment>
    <comment ref="F26" authorId="0" shapeId="0" xr:uid="{D85FF502-CE1D-4115-B972-74F12BB97CF6}">
      <text>
        <r>
          <rPr>
            <sz val="11"/>
            <color theme="1"/>
            <rFont val="Calibri"/>
            <family val="2"/>
            <scheme val="minor"/>
          </rPr>
          <t>Valitse parhaiten sovelutva pinta-ala: kokeile eri arvoja parhaimman takaisinmaksuajan löytämiseksi</t>
        </r>
      </text>
    </comment>
    <comment ref="A29" authorId="0" shapeId="0" xr:uid="{3F386D73-CA55-4804-9B92-C2E881843DDC}">
      <text>
        <r>
          <rPr>
            <sz val="9"/>
            <color indexed="81"/>
            <rFont val="Tahoma"/>
            <charset val="1"/>
          </rPr>
          <t xml:space="preserve">Tämä on arvio
</t>
        </r>
      </text>
    </comment>
    <comment ref="F29" authorId="0" shapeId="0" xr:uid="{FDE5C16E-576E-42B9-AA24-F59B61A756F1}">
      <text>
        <r>
          <rPr>
            <sz val="9"/>
            <color indexed="81"/>
            <rFont val="Tahoma"/>
            <family val="2"/>
          </rPr>
          <t>Tämä on arvio</t>
        </r>
      </text>
    </comment>
    <comment ref="A31" authorId="0" shapeId="0" xr:uid="{4FBE015A-CC37-43EE-900F-E1F0FAE9F9A8}">
      <text>
        <r>
          <rPr>
            <sz val="9"/>
            <color indexed="81"/>
            <rFont val="Tahoma"/>
            <family val="2"/>
          </rPr>
          <t>Pika-arviointi (perustuen eri pinta-aloihin)</t>
        </r>
      </text>
    </comment>
    <comment ref="F31" authorId="0" shapeId="0" xr:uid="{108FFE05-B79A-4243-9B60-23DC542BDA2E}">
      <text>
        <r>
          <rPr>
            <sz val="9"/>
            <color indexed="81"/>
            <rFont val="Tahoma"/>
            <family val="2"/>
          </rPr>
          <t>Pika-arviointi (perustuen eri pinta-aloihin)</t>
        </r>
      </text>
    </comment>
    <comment ref="A36" authorId="0" shapeId="0" xr:uid="{34E38272-D73C-4133-BF6E-2F45AFD91CC6}">
      <text>
        <r>
          <rPr>
            <sz val="9"/>
            <color indexed="81"/>
            <rFont val="Tahoma"/>
            <family val="2"/>
          </rPr>
          <t>Tämä on automaattisesti laskettu tulos</t>
        </r>
      </text>
    </comment>
    <comment ref="F36" authorId="0" shapeId="0" xr:uid="{40133061-4F5B-4477-AAE5-673838974599}">
      <text>
        <r>
          <rPr>
            <sz val="9"/>
            <color indexed="81"/>
            <rFont val="Tahoma"/>
            <family val="2"/>
          </rPr>
          <t>Tämä on automaattisesti laskettu tulos</t>
        </r>
      </text>
    </comment>
    <comment ref="A41" authorId="0" shapeId="0" xr:uid="{D09F8880-91C0-435B-AF0F-C4C0CAF1B3CA}">
      <text>
        <r>
          <rPr>
            <sz val="9"/>
            <color indexed="81"/>
            <rFont val="Tahoma"/>
            <family val="2"/>
          </rPr>
          <t>Tämä on automaattisesti laskettu tulos</t>
        </r>
      </text>
    </comment>
    <comment ref="F41" authorId="0" shapeId="0" xr:uid="{CC7CDE9B-50FA-4322-82B5-886E295782A4}">
      <text>
        <r>
          <rPr>
            <sz val="9"/>
            <color indexed="81"/>
            <rFont val="Tahoma"/>
            <family val="2"/>
          </rPr>
          <t>Tämä on automaattisesti laskettu tulos</t>
        </r>
      </text>
    </comment>
    <comment ref="A43" authorId="0" shapeId="0" xr:uid="{C8AA9EA1-64FA-4BC8-89CF-2277C7337A97}">
      <text>
        <r>
          <rPr>
            <sz val="9"/>
            <color indexed="81"/>
            <rFont val="Tahoma"/>
            <family val="2"/>
          </rPr>
          <t>Energiatuki kuntien tiloihin on 20%, taloyhtiöille se on makssimissaan 50% / € 4000 per asunto</t>
        </r>
      </text>
    </comment>
    <comment ref="F43" authorId="1" shapeId="0" xr:uid="{5ED92930-19A9-4921-80AA-FD382567E445}">
      <text>
        <r>
          <rPr>
            <sz val="9"/>
            <color indexed="81"/>
            <rFont val="Tahoma"/>
            <family val="2"/>
          </rPr>
          <t>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A44" authorId="0" shapeId="0" xr:uid="{D1EA3FEA-C22D-4E50-8197-5B3D60C62ED2}">
      <text>
        <r>
          <rPr>
            <sz val="9"/>
            <color indexed="81"/>
            <rFont val="Tahoma"/>
            <family val="2"/>
          </rPr>
          <t xml:space="preserve"> Mainitse, jos käytössänne on erityinen budjetti vihreiden/kestävien toimenpiteiden toteuttamiseen</t>
        </r>
      </text>
    </comment>
    <comment ref="A45" authorId="0" shapeId="0" xr:uid="{922DD54D-C903-46D4-881A-7DB7DF1E3B6D}">
      <text>
        <r>
          <rPr>
            <sz val="9"/>
            <color indexed="81"/>
            <rFont val="Tahoma"/>
            <family val="2"/>
          </rPr>
          <t>Tämä on automaattisesti laskettu tulos</t>
        </r>
      </text>
    </comment>
    <comment ref="F45" authorId="0" shapeId="0" xr:uid="{75DD2DDC-A450-4E25-99B1-8EF65E9A6EE0}">
      <text>
        <r>
          <rPr>
            <sz val="9"/>
            <color indexed="81"/>
            <rFont val="Tahoma"/>
            <family val="2"/>
          </rPr>
          <t>Tämä on automaattisesti laskettu tulos</t>
        </r>
      </text>
    </comment>
    <comment ref="F48" authorId="1" shapeId="0" xr:uid="{47F8A6AA-298D-4367-8289-20327B8F8FB9}">
      <text>
        <r>
          <rPr>
            <sz val="9"/>
            <color indexed="81"/>
            <rFont val="Tahoma"/>
            <family val="2"/>
          </rPr>
          <t>Maksimi laina-aika on 20 vuotta</t>
        </r>
      </text>
    </comment>
    <comment ref="A50" authorId="0" shapeId="0" xr:uid="{5DD53779-B215-414E-9320-D9426A2E6F60}">
      <text>
        <r>
          <rPr>
            <sz val="9"/>
            <color indexed="81"/>
            <rFont val="Tahoma"/>
            <family val="2"/>
          </rPr>
          <t>Tämä on automaattisesti laskettu tulos</t>
        </r>
      </text>
    </comment>
    <comment ref="F50" authorId="0" shapeId="0" xr:uid="{A166361F-936F-47D5-8DD4-CD3AD02D121B}">
      <text>
        <r>
          <rPr>
            <sz val="9"/>
            <color indexed="81"/>
            <rFont val="Tahoma"/>
            <family val="2"/>
          </rPr>
          <t>Tämä on automaattisesti laskettu tulos</t>
        </r>
      </text>
    </comment>
    <comment ref="Q58" authorId="2" shapeId="0" xr:uid="{3BED87F1-06B0-4737-BDA4-EC8344975336}">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74" authorId="1" shapeId="0" xr:uid="{3A138ABD-39D7-4E76-A162-631F0CAC6840}">
      <text>
        <r>
          <rPr>
            <sz val="9"/>
            <color indexed="81"/>
            <rFont val="Tahoma"/>
            <family val="2"/>
          </rPr>
          <t>Inverter change</t>
        </r>
      </text>
    </comment>
    <comment ref="R90" authorId="2" shapeId="0" xr:uid="{57447604-E678-4584-8284-C36CAD813A1A}">
      <text>
        <r>
          <rPr>
            <sz val="12"/>
            <color rgb="FF000000"/>
            <rFont val="Calibri"/>
            <family val="2"/>
          </rPr>
          <t xml:space="preserve">Takaisinmaksuaika
</t>
        </r>
      </text>
    </comment>
    <comment ref="D102" authorId="1" shapeId="0" xr:uid="{51052795-2B4F-4F47-A7B7-734D613A88D0}">
      <text>
        <r>
          <rPr>
            <sz val="9"/>
            <color indexed="81"/>
            <rFont val="Tahoma"/>
            <family val="2"/>
          </rPr>
          <t>Suomen keskimääräinen ostosähkö</t>
        </r>
      </text>
    </comment>
    <comment ref="D103" authorId="1" shapeId="0" xr:uid="{7D29D860-F3B6-4B5D-A6DD-DE2FD7B52EF9}">
      <text>
        <r>
          <rPr>
            <sz val="9"/>
            <color indexed="81"/>
            <rFont val="Tahoma"/>
            <family val="2"/>
          </rPr>
          <t>Kaukolämmön yhteistuotanto. Tarkista omalta energiatoimittajalta!</t>
        </r>
      </text>
    </comment>
    <comment ref="D104" authorId="1" shapeId="0" xr:uid="{05DFCA0F-122C-433F-A691-C21B97C56715}">
      <text>
        <r>
          <rPr>
            <sz val="9"/>
            <color indexed="81"/>
            <rFont val="Tahoma"/>
            <family val="2"/>
          </rPr>
          <t>Kevyt polttoöljy,
lämpöarvo 11,85 kWh/l</t>
        </r>
      </text>
    </comment>
    <comment ref="D105" authorId="1" shapeId="0" xr:uid="{69D53778-F75E-4FC5-941C-0D2EC1D9564B}">
      <text>
        <r>
          <rPr>
            <sz val="9"/>
            <color indexed="81"/>
            <rFont val="Tahoma"/>
            <family val="2"/>
          </rPr>
          <t>Säästetty energiamäärä x päästökerroin</t>
        </r>
      </text>
    </comment>
    <comment ref="D106" authorId="1" shapeId="0" xr:uid="{AC3B77D1-9AE0-490A-AB30-A08020CC12EF}">
      <text>
        <r>
          <rPr>
            <sz val="9"/>
            <color indexed="81"/>
            <rFont val="Tahoma"/>
            <family val="2"/>
          </rPr>
          <t>Säästetty energiamäärä x päästökerroin</t>
        </r>
      </text>
    </comment>
    <comment ref="D112" authorId="0" shapeId="0" xr:uid="{290360A0-0D9B-4CE8-9C40-DAD5B5570207}">
      <text>
        <r>
          <rPr>
            <sz val="11"/>
            <color theme="1"/>
            <rFont val="Calibri"/>
            <family val="2"/>
            <scheme val="minor"/>
          </rPr>
          <t>Huomioi, että aurinkosähköä tulee ainoastaan valoisan aikaa eikä pimeän aikaan. Näin ollen voitte saada omasta aurinkosähköstä omaan käyttöön, jota voidaan käyttää päivänvalon aikaan. Tämä laskuri olettaa karkeasti, että kaikki aurinkosähkö saadaan käytettyä itse niin kauan ennen kuin tuotanto laskee kulutuksen alapuolelle. Tämä ei tietenkään mene niin, mutta optimaalonen mitoittaminen täytyy ottaa huomioon sähkön tuotannon päivittäinen suhde kulutukseen.</t>
        </r>
      </text>
    </comment>
    <comment ref="D116" authorId="2" shapeId="0" xr:uid="{FB36E973-1DCC-4C83-B924-A8BF225D80BE}">
      <text>
        <r>
          <rPr>
            <sz val="11"/>
            <color theme="1"/>
            <rFont val="Calibri"/>
            <family val="2"/>
            <scheme val="minor"/>
          </rPr>
          <t>Käytä tuloksia selvityksen osiosta 2.5. Ottakaa kuukausittaiset numerot oranssista kaaviosta "Monthly in-plane irradiation for fixed angle" ja vuosittainen numero yhteenvetotaulukosta läheltä kaaviota: line "Yearly in-plane irradiation [kWh/m2]"</t>
        </r>
      </text>
    </comment>
    <comment ref="G116" authorId="0" shapeId="0" xr:uid="{CB3BB2C0-2B51-433E-A3CD-B63FB6444617}">
      <text>
        <r>
          <rPr>
            <sz val="11"/>
            <color theme="1"/>
            <rFont val="Calibri"/>
            <family val="2"/>
            <scheme val="minor"/>
          </rPr>
          <t xml:space="preserve">Käytä tuloksia selvityksen osiosta 2.5. Ottakaa kuukausittaiset numerot sinisestä kaaviosta "Monthly energy output..." ja vuosittainen numero yhteenvetotaulukosta kaavion läheltä: "Yearly PV-energy production [kWh]" </t>
        </r>
      </text>
    </comment>
    <comment ref="H116" authorId="2" shapeId="0" xr:uid="{F372D05A-1F3B-4DAD-B2E8-F90280C55C67}">
      <text>
        <r>
          <rPr>
            <sz val="12"/>
            <color rgb="FF000000"/>
            <rFont val="Calibri"/>
            <family val="2"/>
          </rPr>
          <t>Huomioikaa, että aurinkosähköä tulee ainoastaan valoisan aikaa eikä pimeän aikaan. Näin ollen voitte saada omasta aurinkosähköstä omaan käyttöön, jota voidaan käyttää päivänvalon aikaan. Tämä laskuri olettaa karkeasti, että kaikki aurinkosähkö saadaan käytettyä itse niin kauan ennen kuin tuotanto laskee kulutuksen alapuolelle. Tämä ei tietenkään mene niin, mutta optimaalonen mitoittaminen täytyy ottaa huomioon sähkön tuotannon päivittäinen suhde kulutukseen.</t>
        </r>
      </text>
    </comment>
  </commentList>
</comments>
</file>

<file path=xl/sharedStrings.xml><?xml version="1.0" encoding="utf-8"?>
<sst xmlns="http://schemas.openxmlformats.org/spreadsheetml/2006/main" count="173" uniqueCount="144">
  <si>
    <t>KANNATTAVUUSLASKURI</t>
  </si>
  <si>
    <t>ALOITA TÄSTÄ</t>
  </si>
  <si>
    <t>Kommentti 1:</t>
  </si>
  <si>
    <t>Kommentti 2:</t>
  </si>
  <si>
    <t xml:space="preserve">Huomioi, että taulukon joissakin soluissa on käyttäjälle tarkoitettuja kommentteja </t>
  </si>
  <si>
    <t>Kommentti 3:</t>
  </si>
  <si>
    <t>Siniset ja vihreät solut sisältävät vinkkejä (solun oikea yläkulma)</t>
  </si>
  <si>
    <t>Tietoja yrityksen nykyisistä sähkökustannuksista:</t>
  </si>
  <si>
    <t>Ostosähkön hinta, snt/kWh</t>
  </si>
  <si>
    <t>Sähkönsiirron hinta, snt/kWh</t>
  </si>
  <si>
    <t>Sähkövero ja palvelumaksu, snt/kWh</t>
  </si>
  <si>
    <t>Mene sivustolle:</t>
  </si>
  <si>
    <t>https://www.vero.fi/yritykset-ja-yhteisot/tietoa-yritysverotuksesta/valmisteverotus/sahko_ja_eraat_polttoaineet/sahkon_ja_eraiden_polttoaineiden_verota/</t>
  </si>
  <si>
    <t>Ostosähkön arvonlisävero (ALV)</t>
  </si>
  <si>
    <t xml:space="preserve">Nykyinen tai sähkön viitehinta, snt/kWh </t>
  </si>
  <si>
    <t>Arvio (tai tarkka tieto) osuudesta, joka tuotetulla aurinkosähköllä saadaan katettua , %</t>
  </si>
  <si>
    <t>Tuotetusta energiasta voidaan käyttää tämä osuus vuosittaiseen kulutukseen, kWh/vuosi</t>
  </si>
  <si>
    <t>Tietoja aurinkosähköjärjestelmästä:</t>
  </si>
  <si>
    <t>Asennettu huipputeho, kWp</t>
  </si>
  <si>
    <t>Pinta-ala, m2</t>
  </si>
  <si>
    <t>Kun löydät parhaimman/kannattavimman pinta-alan kohdasta  "Muistiinpanojesi yhteenveto", laita se selvityksen osioon 2.8 ja hae uudellen arvo kohtaan "yearly PV energy production" osiossa 2.11</t>
  </si>
  <si>
    <t>Vuosittainen säteily sijainnissa, kWh/kWp</t>
  </si>
  <si>
    <t>Aurinkosähkön tuotanto, kWh/vuosi</t>
  </si>
  <si>
    <t>Takaisinmaksuaika, vuosia</t>
  </si>
  <si>
    <t>Muistiinpanojesi yhteenveto</t>
  </si>
  <si>
    <r>
      <t xml:space="preserve">Pinta-ala, m2 </t>
    </r>
    <r>
      <rPr>
        <b/>
        <sz val="11"/>
        <color theme="0"/>
        <rFont val="Calibri"/>
        <family val="2"/>
      </rPr>
      <t>→</t>
    </r>
  </si>
  <si>
    <t>Valitse paras skenaario ja korosta se</t>
  </si>
  <si>
    <r>
      <t xml:space="preserve">Aurinkosähköntuotanto, kWh/vuosi </t>
    </r>
    <r>
      <rPr>
        <b/>
        <sz val="11"/>
        <color theme="0"/>
        <rFont val="Calibri"/>
        <family val="2"/>
      </rPr>
      <t>→</t>
    </r>
  </si>
  <si>
    <r>
      <t xml:space="preserve">Takaisinmaksuaika, vuosia </t>
    </r>
    <r>
      <rPr>
        <b/>
        <sz val="11"/>
        <color theme="0"/>
        <rFont val="Calibri"/>
        <family val="2"/>
      </rPr>
      <t>→</t>
    </r>
  </si>
  <si>
    <t>Aurinkovoimalan sähköntuotannon aleneminen, % / vuosi</t>
  </si>
  <si>
    <t>Aurinkosähkön ylijäämä vuosittaisesta tuotannosta, %</t>
  </si>
  <si>
    <t>Ylijäämä aurinkosähkön myyntihinta verkkoon , snt / kWh</t>
  </si>
  <si>
    <t xml:space="preserve">Tietoja aurinkosähköjärjestelmän taloudellisista kustannuksista: </t>
  </si>
  <si>
    <t>Avaimet käteen -järjestelmän investointikustannus, euro</t>
  </si>
  <si>
    <t>Huomio: yrityksille ja kunnille kuuluu ALV 0% ja kuluttajille ALV 24%.</t>
  </si>
  <si>
    <t>Aurinkosähköjärjestelmän hinta ilman tukia, euro/kWp</t>
  </si>
  <si>
    <t>1000-1200 e</t>
  </si>
  <si>
    <t xml:space="preserve"> -&gt;</t>
  </si>
  <si>
    <t>https://finsolar.net/kannattavuus/aurinkosahkon-hinnat-ja-kannattavuus/</t>
  </si>
  <si>
    <t>Potentiaalinen investointituki ensimmäisessä investoinnissa, %</t>
  </si>
  <si>
    <t>Sataman budjetti vihreisiin toimenpiteisiin, €</t>
  </si>
  <si>
    <t>Investointikustannus tukien kanssa, euro</t>
  </si>
  <si>
    <t>Oma käytettävissä oleva rahoitus aurinkopaneeleiden asennukseen, €</t>
  </si>
  <si>
    <t>Lainan määrä, €</t>
  </si>
  <si>
    <t>Laina-aika, vuosia</t>
  </si>
  <si>
    <t>Lainan korkokanta, %</t>
  </si>
  <si>
    <t>Laina-erät tai ulkoinen rahoitus, euro / vuosi</t>
  </si>
  <si>
    <t xml:space="preserve"> </t>
  </si>
  <si>
    <t>Sijoitetun pääoman tuotto</t>
  </si>
  <si>
    <t>Invertterin vaihtokustannus: kerran 15 vuodessa</t>
  </si>
  <si>
    <t>Yleensä 6-10% alkuinvestoinnista. Se rippuu järjestelmän koosta: osuus on suurempi pienemmissä järjestelmissä ja matalampi suuremmissa.</t>
  </si>
  <si>
    <t>Vuosittaiset huoltokustannukset, euro/year</t>
  </si>
  <si>
    <t>https://www.nrel.gov/docs/fy19osti/72399.pdf</t>
  </si>
  <si>
    <t>Aurinkosähkön kustannukset ja tuottolaskelmat järjestelmän elinkaaren aikana:</t>
  </si>
  <si>
    <t>Aurinkosähköjärjestelmän käyttöikä ja tuotanto</t>
  </si>
  <si>
    <t>Aurinkoenergian suhteelliset kustannukset</t>
  </si>
  <si>
    <t>Aurinkoenergian tuotantokustannukset</t>
  </si>
  <si>
    <r>
      <rPr>
        <sz val="14"/>
        <color rgb="FF000000"/>
        <rFont val="Arial"/>
        <family val="2"/>
      </rPr>
      <t>Ylijäämä aurinkosähkön</t>
    </r>
    <r>
      <rPr>
        <b/>
        <sz val="14"/>
        <color rgb="FF000000"/>
        <rFont val="Arial"/>
        <family val="2"/>
      </rPr>
      <t xml:space="preserve"> myynti</t>
    </r>
  </si>
  <si>
    <t>Taloudelliset laskelmat</t>
  </si>
  <si>
    <t>Järjestelmän ikä, vuosina</t>
  </si>
  <si>
    <t xml:space="preserve"> Aurinkoenergiantuotanto, kWh/vuosi</t>
  </si>
  <si>
    <t>Ostosähkön kustannukset, eur/kWh</t>
  </si>
  <si>
    <t>Aurinkoenergian arvo, eur/vuosi</t>
  </si>
  <si>
    <t>Laina-aika</t>
  </si>
  <si>
    <t>Laina-erät, euro/vuosi</t>
  </si>
  <si>
    <t>Lainan korkokulut, euro/vuosi</t>
  </si>
  <si>
    <t>Lainan saldo, euro</t>
  </si>
  <si>
    <t>Oma korvaus, euro</t>
  </si>
  <si>
    <t>Huolto ja korjauskustannukset, eur/vuosi</t>
  </si>
  <si>
    <t>Aurinkoenergian kustannukset yhteensä, euro/vuosi</t>
  </si>
  <si>
    <t>Ylijäämä aurinkosähkön myyntihinta, euro/kWh</t>
  </si>
  <si>
    <t>Myynnin liikevaihto, euro/vuosi</t>
  </si>
  <si>
    <t>Aurinkoenergiantuotannon kokonaisarvo, euro/vuosi</t>
  </si>
  <si>
    <t>Kassavirta, euro/vuosi</t>
  </si>
  <si>
    <t>Kumulatiivinen sijoitetun pääoman tuotto, euro/vuosi</t>
  </si>
  <si>
    <t>Investoinnin nettonykyarvot, euro/vuosi</t>
  </si>
  <si>
    <t xml:space="preserve"> -</t>
  </si>
  <si>
    <r>
      <t xml:space="preserve">Invertteri </t>
    </r>
    <r>
      <rPr>
        <b/>
        <sz val="11"/>
        <color rgb="FF000000"/>
        <rFont val="Calibri"/>
        <family val="2"/>
      </rPr>
      <t>→
vaihto</t>
    </r>
  </si>
  <si>
    <t>YHTEENSÄ</t>
  </si>
  <si>
    <t>Yhteenveto: sijoitetun pääoman tuotto ja takaisinmaksuaika</t>
  </si>
  <si>
    <t>Nettovoitto, euro</t>
  </si>
  <si>
    <t>Sijoituksen tuotto</t>
  </si>
  <si>
    <t>Vertailu:</t>
  </si>
  <si>
    <t>Aurinkosähkön kustannusten hinta 30 vuoden pitoajalla, snt/kWh</t>
  </si>
  <si>
    <t xml:space="preserve">Arvio ostosähkön hinnasta yli 30 vuoden ajalta, snt/kWh </t>
  </si>
  <si>
    <t>Ilman päästöt:</t>
  </si>
  <si>
    <r>
      <t xml:space="preserve">Päästöt </t>
    </r>
    <r>
      <rPr>
        <b/>
        <sz val="12"/>
        <color rgb="FF000000"/>
        <rFont val="Calibri"/>
        <family val="2"/>
      </rPr>
      <t>korvattavalle</t>
    </r>
    <r>
      <rPr>
        <sz val="12"/>
        <color rgb="FF000000"/>
        <rFont val="Calibri"/>
        <family val="2"/>
      </rPr>
      <t xml:space="preserve"> ostosähkölle</t>
    </r>
  </si>
  <si>
    <t>gCO2/kWh</t>
  </si>
  <si>
    <r>
      <t xml:space="preserve">Päästöt </t>
    </r>
    <r>
      <rPr>
        <b/>
        <sz val="12"/>
        <color rgb="FF000000"/>
        <rFont val="Calibri"/>
        <family val="2"/>
      </rPr>
      <t xml:space="preserve">korvattavalle </t>
    </r>
    <r>
      <rPr>
        <sz val="12"/>
        <color rgb="FF000000"/>
        <rFont val="Calibri"/>
        <family val="2"/>
      </rPr>
      <t>osto kaukolämmölle</t>
    </r>
  </si>
  <si>
    <r>
      <t xml:space="preserve">Päästöt </t>
    </r>
    <r>
      <rPr>
        <b/>
        <sz val="12"/>
        <color rgb="FF000000"/>
        <rFont val="Calibri"/>
        <family val="2"/>
      </rPr>
      <t>korvattavalle</t>
    </r>
    <r>
      <rPr>
        <sz val="12"/>
        <color rgb="FF000000"/>
        <rFont val="Calibri"/>
        <family val="2"/>
      </rPr>
      <t xml:space="preserve"> osto polttoöljylle</t>
    </r>
  </si>
  <si>
    <t>Päästövähennykset per vuosi</t>
  </si>
  <si>
    <t>kgCO2/v</t>
  </si>
  <si>
    <t>Päästövähennykset per vuosi
(sisältäen mahdolliset muutokset sähkönkulutuksessa)</t>
  </si>
  <si>
    <t>Tietoa aurinkosähköjärjestelmästä:</t>
  </si>
  <si>
    <t xml:space="preserve">Aurinkosähköjärjestelmän huipputeho, Wp </t>
  </si>
  <si>
    <t>Aurinkosähköjärjestelmän hyötysuhde, %</t>
  </si>
  <si>
    <t>Tavoiteltava hyötysuhde on väliltä 17% ja 19% (keskimäärin noin 18%)</t>
  </si>
  <si>
    <t>https://www.solar.com/learn/solar-panel-efficiency/</t>
  </si>
  <si>
    <t>Kuinka paljon aurinkoenergiaa voidaan käyttää päivittäin, %</t>
  </si>
  <si>
    <t>Se on Suomen tapauksissa käytetty käytännön arvo</t>
  </si>
  <si>
    <t>Aurinkosähköjärjestelmän pinta-ala, m2</t>
  </si>
  <si>
    <r>
      <t xml:space="preserve">Katso solun muistiinpanojen info </t>
    </r>
    <r>
      <rPr>
        <sz val="11"/>
        <color theme="0" tint="-0.499984740745262"/>
        <rFont val="Calibri"/>
        <family val="2"/>
      </rPr>
      <t>↓</t>
    </r>
  </si>
  <si>
    <t>Kuukausi</t>
  </si>
  <si>
    <t>Päiviä kuukaudessa</t>
  </si>
  <si>
    <t>Kuukausittainen sähkönkulutus, kWh/kk</t>
  </si>
  <si>
    <t>Auringonsäteily kWh/m2</t>
  </si>
  <si>
    <t xml:space="preserve"> Sähkönhinta €/MWh</t>
  </si>
  <si>
    <t>Ylijäämä aurinkosähkön myyntihinta €/MWh</t>
  </si>
  <si>
    <t xml:space="preserve"> Aurinkosähköntuotanto, kWh/kk</t>
  </si>
  <si>
    <t>Aurinkosähkö omaan käyttöön, kWh</t>
  </si>
  <si>
    <t>Aurinkosähkö myyntiin, kWh</t>
  </si>
  <si>
    <t>Ostosähkön tarve, kWh</t>
  </si>
  <si>
    <t>Omaan käyttöön tuotentun aurinkosähkön arvo, €</t>
  </si>
  <si>
    <t>Sähkön myynnin tuotot, €</t>
  </si>
  <si>
    <t>Tammi</t>
  </si>
  <si>
    <t>Helmi</t>
  </si>
  <si>
    <t>Maalis</t>
  </si>
  <si>
    <t>Huhti</t>
  </si>
  <si>
    <t>Touko</t>
  </si>
  <si>
    <t>Kesä</t>
  </si>
  <si>
    <t>Heinä</t>
  </si>
  <si>
    <t>Elo</t>
  </si>
  <si>
    <t>Syys</t>
  </si>
  <si>
    <t>Loka</t>
  </si>
  <si>
    <t>Marras</t>
  </si>
  <si>
    <t>Joulu</t>
  </si>
  <si>
    <t>Aurinkosähköjärjestelmän vuosituotanto, kWh/vuosi</t>
  </si>
  <si>
    <r>
      <rPr>
        <b/>
        <sz val="11"/>
        <color rgb="FF000000"/>
        <rFont val="Arial"/>
        <family val="2"/>
      </rPr>
      <t>Aurinkosähkön myynnin osuus</t>
    </r>
    <r>
      <rPr>
        <sz val="11"/>
        <color rgb="FF000000"/>
        <rFont val="Arial"/>
        <family val="2"/>
      </rPr>
      <t xml:space="preserve"> (ylijäämä % per vuosi)</t>
    </r>
  </si>
  <si>
    <r>
      <t xml:space="preserve">Yritykset ja kunnat </t>
    </r>
    <r>
      <rPr>
        <b/>
        <sz val="11"/>
        <color theme="0" tint="-0.499984740745262"/>
        <rFont val="Arial"/>
        <family val="2"/>
      </rPr>
      <t>0%</t>
    </r>
    <r>
      <rPr>
        <sz val="11"/>
        <color theme="0" tint="-0.499984740745262"/>
        <rFont val="Arial"/>
        <family val="2"/>
      </rPr>
      <t>, kuluttajat 24%</t>
    </r>
  </si>
  <si>
    <r>
      <t>Huomio:</t>
    </r>
    <r>
      <rPr>
        <sz val="12"/>
        <color theme="0" tint="-0.499984740745262"/>
        <rFont val="Calibri"/>
        <family val="2"/>
      </rPr>
      <t xml:space="preserve"> tämä on arvioitu automaattinen arvo parhaimman skenaarion löytämiseksi! Vaihda se tarkkaan tulokseen osiosta 2.11</t>
    </r>
  </si>
  <si>
    <t xml:space="preserve"> Tässä taulukossa on kahdenlaisia soluja, vihreitä ja sinisiä</t>
  </si>
  <si>
    <r>
      <t xml:space="preserve"> </t>
    </r>
    <r>
      <rPr>
        <b/>
        <sz val="11"/>
        <rFont val="Arial"/>
        <family val="2"/>
      </rPr>
      <t>- vihreisiin laatikoihin</t>
    </r>
    <r>
      <rPr>
        <sz val="11"/>
        <rFont val="Arial"/>
        <family val="2"/>
      </rPr>
      <t xml:space="preserve"> täytyy lisätä tietoja</t>
    </r>
  </si>
  <si>
    <r>
      <t xml:space="preserve"> </t>
    </r>
    <r>
      <rPr>
        <b/>
        <sz val="11"/>
        <rFont val="Arial"/>
        <family val="2"/>
      </rPr>
      <t>- sinisiin laatikoihin</t>
    </r>
    <r>
      <rPr>
        <sz val="11"/>
        <rFont val="Arial"/>
        <family val="2"/>
      </rPr>
      <t xml:space="preserve"> ei ole pakko lisätä tietoja</t>
    </r>
  </si>
  <si>
    <t>(sinisisiin laatikkoihin lisättyjen tietojen avulla saadaan tarkempia tuloksia)</t>
  </si>
  <si>
    <t>Arvioitu muutos viitehinnassa vuosien kuluessa, % per vuosi</t>
  </si>
  <si>
    <t>Vuosittainen sähkönkulutus, kWh/vuosi</t>
  </si>
  <si>
    <r>
      <rPr>
        <b/>
        <u/>
        <sz val="15"/>
        <rFont val="Calibri"/>
        <family val="2"/>
      </rPr>
      <t>HUOMIO</t>
    </r>
    <r>
      <rPr>
        <b/>
        <sz val="15"/>
        <rFont val="Calibri"/>
        <family val="2"/>
      </rPr>
      <t>!</t>
    </r>
    <r>
      <rPr>
        <sz val="15"/>
        <rFont val="Calibri"/>
        <family val="2"/>
      </rPr>
      <t xml:space="preserve"> Pinta-alatietojen muuttaminen vaikuttaa investoinnin takaisinmaksuaikaan ja aurinkosähköntuotannon määrään. Käytä alla olevaa  "Muistiinpanojesi yhteenveto" -taulukkoa näiden arvojen ylöskirjaamiseen.</t>
    </r>
  </si>
  <si>
    <t>Mene seuraavalle sivustolle löytääksesi tietoja:</t>
  </si>
  <si>
    <t>Käytä tuloksia osiosta 2.5 "visualized data" kanssa (ensimmäisen kerran "vanha" pinta-ala, auringonsäteily pysyy samana riippumatta muutoksista alueella)</t>
  </si>
  <si>
    <t>Tämän numeron on oltava positiivinen. Kun suunnittelet taloudellisesti kannattavaa aurinkoenergiajärjestelmää, pyri pitämään ylijäämä mahdollisimman pienenä.</t>
  </si>
  <si>
    <t>Tavallisesti 2-6 cnt/kWh</t>
  </si>
  <si>
    <t xml:space="preserve">Tämä on automaattinen arvo. Oletus on, että koko summalle on otettu laina. Tätä voi tarvittaessa muuttaa. </t>
  </si>
  <si>
    <r>
      <rPr>
        <b/>
        <sz val="11"/>
        <color theme="0" tint="-0.499984740745262"/>
        <rFont val="Arial"/>
        <family val="2"/>
      </rPr>
      <t>€10.0</t>
    </r>
    <r>
      <rPr>
        <sz val="11"/>
        <color theme="0" tint="-0.499984740745262"/>
        <rFont val="Arial"/>
        <family val="2"/>
      </rPr>
      <t>/kW/vuosi (0 kW–1 MW)                                                                         -&gt;</t>
    </r>
    <r>
      <rPr>
        <b/>
        <sz val="11"/>
        <color theme="0" tint="-0.499984740745262"/>
        <rFont val="Arial"/>
        <family val="2"/>
      </rPr>
      <t xml:space="preserve">
€7.5</t>
    </r>
    <r>
      <rPr>
        <sz val="11"/>
        <color theme="0" tint="-0.499984740745262"/>
        <rFont val="Arial"/>
        <family val="2"/>
      </rPr>
      <t>/kW/vuosi (5-100 MW)</t>
    </r>
  </si>
  <si>
    <t>https://stat.fi/tilasto/ehi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</si>
</sst>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 &quot;€&quot;;[Red]\-#,##0\ &quot;€&quot;"/>
    <numFmt numFmtId="165" formatCode="0.0"/>
    <numFmt numFmtId="166" formatCode="#,##0.000"/>
    <numFmt numFmtId="167" formatCode="0.0%"/>
    <numFmt numFmtId="168" formatCode="&quot;€&quot;#,##0"/>
    <numFmt numFmtId="169" formatCode="#,##0\ &quot;€&quot;"/>
    <numFmt numFmtId="170" formatCode="[$€]#,##0"/>
    <numFmt numFmtId="171" formatCode="[$€]#,##0.0"/>
    <numFmt numFmtId="172" formatCode="#,##0.00\ &quot;€&quot;"/>
    <numFmt numFmtId="173" formatCode="[$€]#,##0.00"/>
    <numFmt numFmtId="174" formatCode="#,##0.0\ &quot;€&quot;"/>
    <numFmt numFmtId="175" formatCode="#,##0.0"/>
  </numFmts>
  <fonts count="56" x14ac:knownFonts="1">
    <font>
      <sz val="11"/>
      <color theme="1"/>
      <name val="Calibri"/>
      <family val="2"/>
      <scheme val="minor"/>
    </font>
    <font>
      <sz val="12"/>
      <color rgb="FF000000"/>
      <name val="Calibri"/>
      <family val="2"/>
    </font>
    <font>
      <b/>
      <sz val="12"/>
      <color rgb="FF000000"/>
      <name val="Arial"/>
      <family val="2"/>
    </font>
    <font>
      <sz val="11"/>
      <color rgb="FF000000"/>
      <name val="Arial"/>
      <family val="2"/>
    </font>
    <font>
      <b/>
      <sz val="11"/>
      <color rgb="FF000000"/>
      <name val="Arial"/>
      <family val="2"/>
    </font>
    <font>
      <i/>
      <sz val="11"/>
      <color rgb="FF000000"/>
      <name val="Arial"/>
      <family val="2"/>
    </font>
    <font>
      <b/>
      <sz val="11"/>
      <color rgb="FFFF0000"/>
      <name val="Arial"/>
      <family val="2"/>
    </font>
    <font>
      <b/>
      <sz val="11"/>
      <color rgb="FF0000FF"/>
      <name val="Arial"/>
      <family val="2"/>
    </font>
    <font>
      <sz val="11"/>
      <name val="Arial"/>
      <family val="2"/>
    </font>
    <font>
      <sz val="12"/>
      <name val="Calibri"/>
      <family val="2"/>
    </font>
    <font>
      <sz val="11"/>
      <color rgb="FFFF0000"/>
      <name val="Arial"/>
      <family val="2"/>
    </font>
    <font>
      <b/>
      <sz val="11"/>
      <name val="Arial"/>
      <family val="2"/>
    </font>
    <font>
      <i/>
      <sz val="11"/>
      <name val="Arial"/>
      <family val="2"/>
    </font>
    <font>
      <b/>
      <sz val="12"/>
      <color rgb="FF000000"/>
      <name val="Calibri"/>
      <family val="2"/>
    </font>
    <font>
      <sz val="12"/>
      <color theme="4"/>
      <name val="Calibri"/>
      <family val="2"/>
    </font>
    <font>
      <u/>
      <sz val="12"/>
      <color theme="10"/>
      <name val="Calibri"/>
      <family val="2"/>
    </font>
    <font>
      <sz val="9"/>
      <color indexed="81"/>
      <name val="Tahoma"/>
      <family val="2"/>
    </font>
    <font>
      <b/>
      <sz val="12"/>
      <name val="Calibri"/>
      <family val="2"/>
    </font>
    <font>
      <b/>
      <i/>
      <sz val="11"/>
      <color theme="0"/>
      <name val="Arial"/>
      <family val="2"/>
    </font>
    <font>
      <u/>
      <sz val="11"/>
      <color theme="10"/>
      <name val="Calibri"/>
      <family val="2"/>
      <scheme val="minor"/>
    </font>
    <font>
      <b/>
      <sz val="11"/>
      <color theme="0"/>
      <name val="Arial"/>
      <family val="2"/>
    </font>
    <font>
      <sz val="11"/>
      <color theme="0"/>
      <name val="Arial"/>
      <family val="2"/>
    </font>
    <font>
      <b/>
      <sz val="14"/>
      <color rgb="FF000000"/>
      <name val="Arial"/>
      <family val="2"/>
    </font>
    <font>
      <sz val="14"/>
      <color rgb="FF000000"/>
      <name val="Calibri"/>
      <family val="2"/>
    </font>
    <font>
      <b/>
      <sz val="14"/>
      <name val="Arial"/>
      <family val="2"/>
    </font>
    <font>
      <i/>
      <sz val="11"/>
      <color theme="0"/>
      <name val="Arial"/>
      <family val="2"/>
    </font>
    <font>
      <b/>
      <u/>
      <sz val="12"/>
      <color theme="0"/>
      <name val="Arial"/>
      <family val="2"/>
    </font>
    <font>
      <sz val="12"/>
      <color theme="0"/>
      <name val="Calibri"/>
      <family val="2"/>
    </font>
    <font>
      <sz val="14"/>
      <color rgb="FF000000"/>
      <name val="Arial"/>
      <family val="2"/>
    </font>
    <font>
      <b/>
      <sz val="14"/>
      <color theme="1"/>
      <name val="Arial"/>
      <family val="2"/>
    </font>
    <font>
      <b/>
      <sz val="12"/>
      <color rgb="FFFF0000"/>
      <name val="Calibri"/>
      <family val="2"/>
    </font>
    <font>
      <b/>
      <sz val="11"/>
      <color theme="0"/>
      <name val="Calibri"/>
      <family val="2"/>
    </font>
    <font>
      <b/>
      <i/>
      <sz val="14"/>
      <name val="Arial"/>
      <family val="2"/>
    </font>
    <font>
      <b/>
      <sz val="14"/>
      <color theme="0"/>
      <name val="Arial"/>
      <family val="2"/>
    </font>
    <font>
      <b/>
      <sz val="12"/>
      <color theme="0"/>
      <name val="Arial"/>
      <family val="2"/>
    </font>
    <font>
      <b/>
      <sz val="11"/>
      <color rgb="FF000000"/>
      <name val="Calibri"/>
      <family val="2"/>
    </font>
    <font>
      <b/>
      <sz val="14"/>
      <name val="Calibri"/>
      <family val="2"/>
    </font>
    <font>
      <sz val="11"/>
      <color theme="0" tint="-0.249977111117893"/>
      <name val="Arial"/>
      <family val="2"/>
    </font>
    <font>
      <sz val="12"/>
      <color theme="0" tint="-0.249977111117893"/>
      <name val="Calibri"/>
      <family val="2"/>
    </font>
    <font>
      <sz val="11"/>
      <color theme="0" tint="-0.499984740745262"/>
      <name val="Arial"/>
      <family val="2"/>
    </font>
    <font>
      <sz val="11"/>
      <color theme="0" tint="-0.499984740745262"/>
      <name val="Calibri"/>
      <family val="2"/>
    </font>
    <font>
      <sz val="9"/>
      <color indexed="81"/>
      <name val="Tahoma"/>
      <charset val="1"/>
    </font>
    <font>
      <b/>
      <u/>
      <sz val="11"/>
      <name val="Arial"/>
      <family val="2"/>
    </font>
    <font>
      <u/>
      <sz val="11"/>
      <name val="Arial"/>
      <family val="2"/>
    </font>
    <font>
      <sz val="15"/>
      <name val="Calibri"/>
      <family val="2"/>
    </font>
    <font>
      <b/>
      <sz val="15"/>
      <name val="Calibri"/>
      <family val="2"/>
    </font>
    <font>
      <b/>
      <u/>
      <sz val="15"/>
      <name val="Calibri"/>
      <family val="2"/>
    </font>
    <font>
      <b/>
      <i/>
      <sz val="14"/>
      <color theme="0"/>
      <name val="Arial"/>
      <family val="2"/>
    </font>
    <font>
      <b/>
      <sz val="16"/>
      <name val="Arial"/>
      <family val="2"/>
    </font>
    <font>
      <u/>
      <sz val="11"/>
      <color theme="0" tint="-0.499984740745262"/>
      <name val="Calibri"/>
      <family val="2"/>
      <scheme val="minor"/>
    </font>
    <font>
      <sz val="12"/>
      <color theme="0" tint="-0.499984740745262"/>
      <name val="Calibri"/>
      <family val="2"/>
    </font>
    <font>
      <b/>
      <sz val="11"/>
      <color theme="0" tint="-0.499984740745262"/>
      <name val="Arial"/>
      <family val="2"/>
    </font>
    <font>
      <b/>
      <sz val="9"/>
      <color theme="0" tint="-0.499984740745262"/>
      <name val="Arial"/>
      <family val="2"/>
    </font>
    <font>
      <b/>
      <sz val="10"/>
      <color theme="0" tint="-0.499984740745262"/>
      <name val="Arial"/>
      <family val="2"/>
    </font>
    <font>
      <sz val="12"/>
      <color theme="0" tint="-0.499984740745262"/>
      <name val="Calibri"/>
      <family val="2"/>
      <scheme val="minor"/>
    </font>
    <font>
      <b/>
      <sz val="12"/>
      <color theme="0" tint="-0.499984740745262"/>
      <name val="Calibri"/>
      <family val="2"/>
    </font>
  </fonts>
  <fills count="28">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theme="0"/>
        <bgColor rgb="FFFCE5CD"/>
      </patternFill>
    </fill>
    <fill>
      <patternFill patternType="solid">
        <fgColor theme="0"/>
        <bgColor rgb="FFC9DAF8"/>
      </patternFill>
    </fill>
    <fill>
      <patternFill patternType="solid">
        <fgColor theme="0"/>
        <bgColor rgb="FFCFE2F3"/>
      </patternFill>
    </fill>
    <fill>
      <patternFill patternType="solid">
        <fgColor theme="8"/>
        <bgColor indexed="64"/>
      </patternFill>
    </fill>
    <fill>
      <patternFill patternType="solid">
        <fgColor theme="1"/>
        <bgColor rgb="FFF3F3F3"/>
      </patternFill>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7" tint="0.79998168889431442"/>
        <bgColor indexed="64"/>
      </patternFill>
    </fill>
    <fill>
      <patternFill patternType="solid">
        <fgColor theme="0"/>
        <bgColor rgb="FFF3F3F3"/>
      </patternFill>
    </fill>
    <fill>
      <patternFill patternType="solid">
        <fgColor theme="0"/>
        <bgColor rgb="FFFFFFFF"/>
      </patternFill>
    </fill>
    <fill>
      <patternFill patternType="solid">
        <fgColor theme="8"/>
        <bgColor rgb="FFF3F3F3"/>
      </patternFill>
    </fill>
    <fill>
      <patternFill patternType="solid">
        <fgColor theme="2"/>
        <bgColor rgb="FFFFF2CC"/>
      </patternFill>
    </fill>
    <fill>
      <patternFill patternType="solid">
        <fgColor theme="6"/>
        <bgColor rgb="FFFFF2CC"/>
      </patternFill>
    </fill>
    <fill>
      <patternFill patternType="solid">
        <fgColor theme="7" tint="0.79998168889431442"/>
        <bgColor rgb="FFFCE5CD"/>
      </patternFill>
    </fill>
    <fill>
      <patternFill patternType="solid">
        <fgColor theme="3"/>
        <bgColor rgb="FFEAD1DC"/>
      </patternFill>
    </fill>
    <fill>
      <patternFill patternType="solid">
        <fgColor theme="3" tint="0.79998168889431442"/>
        <bgColor rgb="FFEAD1DC"/>
      </patternFill>
    </fill>
    <fill>
      <patternFill patternType="solid">
        <fgColor theme="0"/>
        <bgColor rgb="FFFFFF00"/>
      </patternFill>
    </fill>
    <fill>
      <patternFill patternType="solid">
        <fgColor theme="7" tint="0.79998168889431442"/>
        <bgColor rgb="FFFFFF00"/>
      </patternFill>
    </fill>
    <fill>
      <patternFill patternType="solid">
        <fgColor theme="7" tint="0.79998168889431442"/>
        <bgColor rgb="FFFFFFFF"/>
      </patternFill>
    </fill>
    <fill>
      <patternFill patternType="solid">
        <fgColor theme="7" tint="0.79998168889431442"/>
        <bgColor rgb="FFEAD1DC"/>
      </patternFill>
    </fill>
    <fill>
      <patternFill patternType="solid">
        <fgColor theme="9" tint="0.59999389629810485"/>
        <bgColor indexed="64"/>
      </patternFill>
    </fill>
    <fill>
      <patternFill patternType="solid">
        <fgColor theme="9" tint="0.59999389629810485"/>
        <bgColor rgb="FFF3F3F3"/>
      </patternFill>
    </fill>
    <fill>
      <patternFill patternType="solid">
        <fgColor theme="7" tint="0.79998168889431442"/>
        <bgColor rgb="FFC9DAF8"/>
      </patternFill>
    </fill>
  </fills>
  <borders count="71">
    <border>
      <left/>
      <right/>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diagonal/>
    </border>
    <border>
      <left style="thin">
        <color rgb="FF000000"/>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theme="0"/>
      </left>
      <right style="thin">
        <color indexed="64"/>
      </right>
      <top style="thin">
        <color indexed="64"/>
      </top>
      <bottom style="medium">
        <color indexed="64"/>
      </bottom>
      <diagonal/>
    </border>
    <border>
      <left style="thin">
        <color theme="0"/>
      </left>
      <right style="thin">
        <color rgb="FF000000"/>
      </right>
      <top style="medium">
        <color indexed="64"/>
      </top>
      <bottom style="thin">
        <color rgb="FF000000"/>
      </bottom>
      <diagonal/>
    </border>
    <border>
      <left style="thin">
        <color theme="0"/>
      </left>
      <right style="thin">
        <color rgb="FF000000"/>
      </right>
      <top style="thin">
        <color rgb="FF000000"/>
      </top>
      <bottom style="thin">
        <color rgb="FF000000"/>
      </bottom>
      <diagonal/>
    </border>
    <border>
      <left style="thin">
        <color theme="0"/>
      </left>
      <right style="thin">
        <color rgb="FF000000"/>
      </right>
      <top style="thin">
        <color rgb="FF000000"/>
      </top>
      <bottom/>
      <diagonal/>
    </border>
    <border>
      <left style="thin">
        <color theme="0"/>
      </left>
      <right style="thin">
        <color rgb="FF000000"/>
      </right>
      <top/>
      <bottom style="thin">
        <color rgb="FF000000"/>
      </bottom>
      <diagonal/>
    </border>
    <border>
      <left/>
      <right style="medium">
        <color indexed="64"/>
      </right>
      <top/>
      <bottom/>
      <diagonal/>
    </border>
    <border>
      <left/>
      <right style="thin">
        <color theme="0"/>
      </right>
      <top style="thin">
        <color rgb="FF000000"/>
      </top>
      <bottom/>
      <diagonal/>
    </border>
  </borders>
  <cellStyleXfs count="4">
    <xf numFmtId="0" fontId="0" fillId="0" borderId="0"/>
    <xf numFmtId="0" fontId="1" fillId="0" borderId="0"/>
    <xf numFmtId="0" fontId="15" fillId="0" borderId="0" applyNumberFormat="0" applyFill="0" applyBorder="0" applyAlignment="0" applyProtection="0"/>
    <xf numFmtId="0" fontId="19" fillId="0" borderId="0" applyNumberFormat="0" applyFill="0" applyBorder="0" applyAlignment="0" applyProtection="0"/>
  </cellStyleXfs>
  <cellXfs count="366">
    <xf numFmtId="0" fontId="0" fillId="0" borderId="0" xfId="0"/>
    <xf numFmtId="0" fontId="3" fillId="0" borderId="0" xfId="1" applyFont="1"/>
    <xf numFmtId="0" fontId="7" fillId="0" borderId="0" xfId="1" applyFont="1"/>
    <xf numFmtId="0" fontId="8" fillId="0" borderId="0" xfId="1" applyFont="1"/>
    <xf numFmtId="0" fontId="5" fillId="0" borderId="0" xfId="1" applyFont="1"/>
    <xf numFmtId="0" fontId="3" fillId="3" borderId="0" xfId="1" applyFont="1" applyFill="1"/>
    <xf numFmtId="49" fontId="3" fillId="3" borderId="0" xfId="1" applyNumberFormat="1" applyFont="1" applyFill="1" applyAlignment="1">
      <alignment horizontal="left" vertical="top" wrapText="1"/>
    </xf>
    <xf numFmtId="168" fontId="10" fillId="3" borderId="0" xfId="1" applyNumberFormat="1" applyFont="1" applyFill="1"/>
    <xf numFmtId="49" fontId="3" fillId="0" borderId="0" xfId="1" applyNumberFormat="1" applyFont="1" applyAlignment="1">
      <alignment horizontal="left" vertical="top" wrapText="1"/>
    </xf>
    <xf numFmtId="49" fontId="8" fillId="0" borderId="0" xfId="1" applyNumberFormat="1" applyFont="1" applyAlignment="1">
      <alignment horizontal="left" vertical="top" wrapText="1"/>
    </xf>
    <xf numFmtId="165" fontId="10" fillId="0" borderId="0" xfId="1" applyNumberFormat="1" applyFont="1"/>
    <xf numFmtId="0" fontId="3" fillId="0" borderId="0" xfId="1" applyFont="1" applyAlignment="1">
      <alignment wrapText="1"/>
    </xf>
    <xf numFmtId="0" fontId="9" fillId="0" borderId="0" xfId="1" applyFont="1"/>
    <xf numFmtId="0" fontId="3" fillId="0" borderId="0" xfId="1" applyFont="1" applyAlignment="1">
      <alignment vertical="top"/>
    </xf>
    <xf numFmtId="0" fontId="8" fillId="0" borderId="0" xfId="1" applyFont="1" applyAlignment="1">
      <alignment horizontal="left" vertical="top"/>
    </xf>
    <xf numFmtId="0" fontId="3" fillId="0" borderId="0" xfId="1" applyFont="1" applyAlignment="1">
      <alignment horizontal="left" vertical="top"/>
    </xf>
    <xf numFmtId="9" fontId="8" fillId="0" borderId="0" xfId="1" applyNumberFormat="1" applyFont="1"/>
    <xf numFmtId="1" fontId="3" fillId="0" borderId="0" xfId="1" applyNumberFormat="1" applyFont="1"/>
    <xf numFmtId="0" fontId="4" fillId="0" borderId="0" xfId="1" applyFont="1"/>
    <xf numFmtId="167" fontId="11" fillId="0" borderId="0" xfId="1" applyNumberFormat="1" applyFont="1"/>
    <xf numFmtId="167" fontId="10" fillId="3" borderId="0" xfId="1" applyNumberFormat="1" applyFont="1" applyFill="1"/>
    <xf numFmtId="0" fontId="1" fillId="0" borderId="0" xfId="1"/>
    <xf numFmtId="0" fontId="15" fillId="0" borderId="0" xfId="2"/>
    <xf numFmtId="0" fontId="4" fillId="0" borderId="14" xfId="1" applyFont="1" applyBorder="1"/>
    <xf numFmtId="0" fontId="4" fillId="0" borderId="5" xfId="1" applyFont="1" applyBorder="1" applyAlignment="1">
      <alignment horizontal="right"/>
    </xf>
    <xf numFmtId="0" fontId="4" fillId="0" borderId="0" xfId="1" applyFont="1" applyAlignment="1">
      <alignment horizontal="right"/>
    </xf>
    <xf numFmtId="0" fontId="11" fillId="0" borderId="0" xfId="1" applyFont="1" applyAlignment="1">
      <alignment horizontal="right"/>
    </xf>
    <xf numFmtId="165" fontId="8" fillId="0" borderId="0" xfId="1" applyNumberFormat="1" applyFont="1"/>
    <xf numFmtId="1" fontId="8" fillId="0" borderId="0" xfId="1" applyNumberFormat="1" applyFont="1"/>
    <xf numFmtId="2" fontId="3" fillId="0" borderId="0" xfId="1" applyNumberFormat="1" applyFont="1"/>
    <xf numFmtId="166" fontId="20" fillId="7" borderId="4" xfId="1" applyNumberFormat="1" applyFont="1" applyFill="1" applyBorder="1" applyAlignment="1">
      <alignment horizontal="center" vertical="center"/>
    </xf>
    <xf numFmtId="9" fontId="20" fillId="7" borderId="4" xfId="1" applyNumberFormat="1" applyFont="1" applyFill="1" applyBorder="1" applyAlignment="1">
      <alignment horizontal="center" vertical="center"/>
    </xf>
    <xf numFmtId="167" fontId="20" fillId="7" borderId="4" xfId="1" applyNumberFormat="1" applyFont="1" applyFill="1" applyBorder="1" applyAlignment="1">
      <alignment horizontal="center" vertical="center"/>
    </xf>
    <xf numFmtId="168" fontId="20" fillId="7" borderId="4" xfId="1" applyNumberFormat="1" applyFont="1" applyFill="1" applyBorder="1" applyAlignment="1">
      <alignment horizontal="center" vertical="center"/>
    </xf>
    <xf numFmtId="0" fontId="23" fillId="0" borderId="0" xfId="1" applyFont="1"/>
    <xf numFmtId="167" fontId="20" fillId="7" borderId="9" xfId="1" applyNumberFormat="1" applyFont="1" applyFill="1" applyBorder="1" applyAlignment="1">
      <alignment horizontal="center" vertical="center"/>
    </xf>
    <xf numFmtId="0" fontId="4" fillId="0" borderId="4" xfId="1" applyFont="1" applyBorder="1" applyAlignment="1">
      <alignment horizontal="center" vertical="center"/>
    </xf>
    <xf numFmtId="1" fontId="11" fillId="11" borderId="4" xfId="1" applyNumberFormat="1" applyFont="1" applyFill="1" applyBorder="1" applyAlignment="1">
      <alignment horizontal="center" vertical="center"/>
    </xf>
    <xf numFmtId="165" fontId="11" fillId="11" borderId="4" xfId="1" applyNumberFormat="1" applyFont="1" applyFill="1" applyBorder="1" applyAlignment="1">
      <alignment horizontal="center" vertical="center"/>
    </xf>
    <xf numFmtId="1" fontId="3" fillId="0" borderId="4" xfId="1" applyNumberFormat="1" applyFont="1" applyBorder="1" applyAlignment="1">
      <alignment horizontal="center" vertical="center"/>
    </xf>
    <xf numFmtId="172" fontId="3" fillId="0" borderId="4" xfId="1" applyNumberFormat="1" applyFont="1" applyBorder="1" applyAlignment="1">
      <alignment horizontal="center" vertical="center"/>
    </xf>
    <xf numFmtId="1" fontId="4" fillId="0" borderId="4" xfId="1" applyNumberFormat="1" applyFont="1" applyBorder="1" applyAlignment="1">
      <alignment horizontal="center" vertical="center"/>
    </xf>
    <xf numFmtId="174" fontId="4" fillId="0" borderId="4" xfId="1" applyNumberFormat="1" applyFont="1" applyBorder="1" applyAlignment="1">
      <alignment horizontal="center" vertical="center"/>
    </xf>
    <xf numFmtId="9" fontId="8" fillId="2" borderId="4" xfId="1" applyNumberFormat="1" applyFont="1" applyFill="1" applyBorder="1" applyAlignment="1">
      <alignment horizontal="center" vertical="center"/>
    </xf>
    <xf numFmtId="1" fontId="8" fillId="2" borderId="4" xfId="1" applyNumberFormat="1" applyFont="1" applyFill="1" applyBorder="1" applyAlignment="1">
      <alignment horizontal="center" vertical="center"/>
    </xf>
    <xf numFmtId="0" fontId="4" fillId="12" borderId="4" xfId="1" applyFont="1" applyFill="1" applyBorder="1" applyAlignment="1">
      <alignment horizontal="center" vertical="center"/>
    </xf>
    <xf numFmtId="0" fontId="4" fillId="12" borderId="4" xfId="1" applyFont="1" applyFill="1" applyBorder="1" applyAlignment="1">
      <alignment horizontal="center" vertical="center" wrapText="1"/>
    </xf>
    <xf numFmtId="1" fontId="3" fillId="3" borderId="4" xfId="1" applyNumberFormat="1" applyFont="1" applyFill="1" applyBorder="1" applyAlignment="1">
      <alignment horizontal="center" vertical="center"/>
    </xf>
    <xf numFmtId="0" fontId="3" fillId="0" borderId="25" xfId="1" applyFont="1" applyBorder="1" applyAlignment="1">
      <alignment horizontal="center" vertical="center"/>
    </xf>
    <xf numFmtId="171" fontId="8" fillId="6" borderId="4" xfId="1" applyNumberFormat="1" applyFont="1" applyFill="1" applyBorder="1" applyAlignment="1">
      <alignment horizontal="center" vertical="center"/>
    </xf>
    <xf numFmtId="1" fontId="8" fillId="0" borderId="4" xfId="1" applyNumberFormat="1" applyFont="1" applyBorder="1" applyAlignment="1">
      <alignment horizontal="center" vertical="center"/>
    </xf>
    <xf numFmtId="170" fontId="3" fillId="0" borderId="4" xfId="1" applyNumberFormat="1" applyFont="1" applyBorder="1" applyAlignment="1">
      <alignment horizontal="center" vertical="center"/>
    </xf>
    <xf numFmtId="171" fontId="3" fillId="3" borderId="4" xfId="1" applyNumberFormat="1" applyFont="1" applyFill="1" applyBorder="1" applyAlignment="1">
      <alignment horizontal="center" vertical="center"/>
    </xf>
    <xf numFmtId="171" fontId="3" fillId="0" borderId="4" xfId="1" applyNumberFormat="1" applyFont="1" applyBorder="1" applyAlignment="1">
      <alignment horizontal="center" vertical="center"/>
    </xf>
    <xf numFmtId="173" fontId="3" fillId="0" borderId="4" xfId="1" applyNumberFormat="1" applyFont="1" applyBorder="1" applyAlignment="1">
      <alignment horizontal="center" vertical="center"/>
    </xf>
    <xf numFmtId="171" fontId="8" fillId="5" borderId="4" xfId="1" applyNumberFormat="1" applyFont="1" applyFill="1" applyBorder="1" applyAlignment="1">
      <alignment horizontal="center" vertical="center"/>
    </xf>
    <xf numFmtId="171" fontId="3" fillId="4" borderId="4" xfId="1" applyNumberFormat="1" applyFont="1" applyFill="1" applyBorder="1" applyAlignment="1">
      <alignment horizontal="center" vertical="center"/>
    </xf>
    <xf numFmtId="168" fontId="3" fillId="0" borderId="4" xfId="1" applyNumberFormat="1" applyFont="1" applyBorder="1" applyAlignment="1">
      <alignment horizontal="center" vertical="center"/>
    </xf>
    <xf numFmtId="170" fontId="8" fillId="0" borderId="4" xfId="1" applyNumberFormat="1" applyFont="1" applyBorder="1" applyAlignment="1">
      <alignment horizontal="center" vertical="center"/>
    </xf>
    <xf numFmtId="170" fontId="4" fillId="0" borderId="4" xfId="1" applyNumberFormat="1" applyFont="1" applyBorder="1" applyAlignment="1">
      <alignment horizontal="center" vertical="center"/>
    </xf>
    <xf numFmtId="1" fontId="3" fillId="3" borderId="9" xfId="1" applyNumberFormat="1" applyFont="1" applyFill="1" applyBorder="1" applyAlignment="1">
      <alignment horizontal="center" vertical="center"/>
    </xf>
    <xf numFmtId="172" fontId="3" fillId="0" borderId="9" xfId="1" applyNumberFormat="1" applyFont="1" applyBorder="1" applyAlignment="1">
      <alignment horizontal="center" vertical="center"/>
    </xf>
    <xf numFmtId="1" fontId="8" fillId="0" borderId="9" xfId="1" applyNumberFormat="1" applyFont="1" applyBorder="1" applyAlignment="1">
      <alignment horizontal="center" vertical="center"/>
    </xf>
    <xf numFmtId="170" fontId="3" fillId="0" borderId="9" xfId="1" applyNumberFormat="1" applyFont="1" applyBorder="1" applyAlignment="1">
      <alignment horizontal="center" vertical="center"/>
    </xf>
    <xf numFmtId="171" fontId="3" fillId="3" borderId="9" xfId="1" applyNumberFormat="1" applyFont="1" applyFill="1" applyBorder="1" applyAlignment="1">
      <alignment horizontal="center" vertical="center"/>
    </xf>
    <xf numFmtId="171" fontId="3" fillId="0" borderId="9" xfId="1" applyNumberFormat="1" applyFont="1" applyBorder="1" applyAlignment="1">
      <alignment horizontal="center" vertical="center"/>
    </xf>
    <xf numFmtId="173" fontId="3" fillId="0" borderId="9" xfId="1" applyNumberFormat="1" applyFont="1" applyBorder="1" applyAlignment="1">
      <alignment horizontal="center" vertical="center"/>
    </xf>
    <xf numFmtId="0" fontId="4" fillId="0" borderId="30" xfId="1" applyFont="1" applyBorder="1" applyAlignment="1">
      <alignment horizontal="center" vertical="center"/>
    </xf>
    <xf numFmtId="0" fontId="24" fillId="10" borderId="15" xfId="1" applyFont="1" applyFill="1" applyBorder="1"/>
    <xf numFmtId="0" fontId="28" fillId="10" borderId="16" xfId="1" applyFont="1" applyFill="1" applyBorder="1"/>
    <xf numFmtId="0" fontId="28" fillId="10" borderId="17" xfId="1" applyFont="1" applyFill="1" applyBorder="1"/>
    <xf numFmtId="165" fontId="4" fillId="3" borderId="4" xfId="1" applyNumberFormat="1" applyFont="1" applyFill="1" applyBorder="1" applyAlignment="1">
      <alignment horizontal="center" vertical="center"/>
    </xf>
    <xf numFmtId="0" fontId="3" fillId="3" borderId="0" xfId="1" applyFont="1" applyFill="1" applyAlignment="1">
      <alignment horizontal="left" vertical="center"/>
    </xf>
    <xf numFmtId="167" fontId="8" fillId="3" borderId="0" xfId="1" applyNumberFormat="1" applyFont="1" applyFill="1" applyAlignment="1">
      <alignment horizontal="left" vertical="center"/>
    </xf>
    <xf numFmtId="175" fontId="4" fillId="3" borderId="12" xfId="1" applyNumberFormat="1" applyFont="1" applyFill="1" applyBorder="1" applyAlignment="1">
      <alignment horizontal="center" vertical="center"/>
    </xf>
    <xf numFmtId="0" fontId="14" fillId="0" borderId="42" xfId="1" applyFont="1" applyBorder="1" applyAlignment="1">
      <alignment horizontal="center" vertical="center"/>
    </xf>
    <xf numFmtId="0" fontId="14" fillId="0" borderId="10" xfId="1" applyFont="1" applyBorder="1" applyAlignment="1">
      <alignment horizontal="center" vertical="center"/>
    </xf>
    <xf numFmtId="1" fontId="1" fillId="0" borderId="10" xfId="1" applyNumberFormat="1" applyBorder="1" applyAlignment="1">
      <alignment horizontal="center" vertical="center"/>
    </xf>
    <xf numFmtId="0" fontId="1" fillId="0" borderId="0" xfId="1" applyAlignment="1">
      <alignment horizontal="left" vertical="center"/>
    </xf>
    <xf numFmtId="1" fontId="4" fillId="0" borderId="31" xfId="1" applyNumberFormat="1" applyFont="1" applyBorder="1" applyAlignment="1">
      <alignment horizontal="center"/>
    </xf>
    <xf numFmtId="0" fontId="8" fillId="0" borderId="31" xfId="1" applyFont="1" applyBorder="1" applyAlignment="1">
      <alignment horizontal="center"/>
    </xf>
    <xf numFmtId="170" fontId="11" fillId="0" borderId="31" xfId="1" applyNumberFormat="1" applyFont="1" applyBorder="1" applyAlignment="1">
      <alignment horizontal="center"/>
    </xf>
    <xf numFmtId="174" fontId="4" fillId="0" borderId="31" xfId="1" applyNumberFormat="1" applyFont="1" applyBorder="1" applyAlignment="1">
      <alignment horizontal="center"/>
    </xf>
    <xf numFmtId="171" fontId="11" fillId="0" borderId="31" xfId="1" applyNumberFormat="1" applyFont="1" applyBorder="1" applyAlignment="1">
      <alignment horizontal="center"/>
    </xf>
    <xf numFmtId="171" fontId="4" fillId="0" borderId="31" xfId="1" applyNumberFormat="1" applyFont="1" applyBorder="1" applyAlignment="1">
      <alignment horizontal="center"/>
    </xf>
    <xf numFmtId="168" fontId="3" fillId="0" borderId="31" xfId="1" applyNumberFormat="1" applyFont="1" applyBorder="1" applyAlignment="1">
      <alignment horizontal="center"/>
    </xf>
    <xf numFmtId="0" fontId="3" fillId="0" borderId="31" xfId="1" applyFont="1" applyBorder="1" applyAlignment="1">
      <alignment horizontal="center"/>
    </xf>
    <xf numFmtId="169" fontId="3" fillId="0" borderId="31" xfId="1" applyNumberFormat="1" applyFont="1" applyBorder="1" applyAlignment="1">
      <alignment horizontal="center"/>
    </xf>
    <xf numFmtId="0" fontId="3" fillId="11" borderId="0" xfId="1" applyFont="1" applyFill="1"/>
    <xf numFmtId="0" fontId="10" fillId="0" borderId="0" xfId="1" applyFont="1"/>
    <xf numFmtId="165" fontId="10" fillId="0" borderId="0" xfId="1" applyNumberFormat="1" applyFont="1" applyAlignment="1">
      <alignment horizontal="center" vertical="center"/>
    </xf>
    <xf numFmtId="1" fontId="11" fillId="11" borderId="12" xfId="1" applyNumberFormat="1" applyFont="1" applyFill="1" applyBorder="1" applyAlignment="1">
      <alignment horizontal="center" vertical="center"/>
    </xf>
    <xf numFmtId="0" fontId="10" fillId="11" borderId="0" xfId="1" applyFont="1" applyFill="1"/>
    <xf numFmtId="0" fontId="8" fillId="11" borderId="0" xfId="1" applyFont="1" applyFill="1"/>
    <xf numFmtId="0" fontId="30" fillId="0" borderId="0" xfId="1" applyFont="1"/>
    <xf numFmtId="0" fontId="8" fillId="14" borderId="0" xfId="1" applyFont="1" applyFill="1"/>
    <xf numFmtId="49" fontId="20" fillId="15" borderId="44" xfId="1" applyNumberFormat="1" applyFont="1" applyFill="1" applyBorder="1" applyAlignment="1">
      <alignment horizontal="right" vertical="top"/>
    </xf>
    <xf numFmtId="1" fontId="20" fillId="15" borderId="55" xfId="1" applyNumberFormat="1" applyFont="1" applyFill="1" applyBorder="1" applyAlignment="1">
      <alignment horizontal="center" vertical="center"/>
    </xf>
    <xf numFmtId="1" fontId="20" fillId="15" borderId="52" xfId="1" applyNumberFormat="1" applyFont="1" applyFill="1" applyBorder="1" applyAlignment="1">
      <alignment horizontal="center" vertical="center"/>
    </xf>
    <xf numFmtId="1" fontId="18" fillId="15" borderId="52" xfId="1" applyNumberFormat="1" applyFont="1" applyFill="1" applyBorder="1" applyAlignment="1">
      <alignment horizontal="center" vertical="center"/>
    </xf>
    <xf numFmtId="1" fontId="20" fillId="7" borderId="58" xfId="1" applyNumberFormat="1" applyFont="1" applyFill="1" applyBorder="1" applyAlignment="1">
      <alignment horizontal="center" vertical="center"/>
    </xf>
    <xf numFmtId="1" fontId="20" fillId="7" borderId="52" xfId="1" applyNumberFormat="1" applyFont="1" applyFill="1" applyBorder="1" applyAlignment="1">
      <alignment horizontal="center" vertical="center"/>
    </xf>
    <xf numFmtId="1" fontId="20" fillId="15" borderId="56" xfId="1" applyNumberFormat="1" applyFont="1" applyFill="1" applyBorder="1" applyAlignment="1">
      <alignment horizontal="center" vertical="center"/>
    </xf>
    <xf numFmtId="1" fontId="20" fillId="15" borderId="53" xfId="1" applyNumberFormat="1" applyFont="1" applyFill="1" applyBorder="1" applyAlignment="1">
      <alignment horizontal="center" vertical="center"/>
    </xf>
    <xf numFmtId="1" fontId="18" fillId="15" borderId="53" xfId="1" applyNumberFormat="1" applyFont="1" applyFill="1" applyBorder="1" applyAlignment="1">
      <alignment horizontal="center" vertical="center"/>
    </xf>
    <xf numFmtId="1" fontId="20" fillId="7" borderId="45" xfId="1" applyNumberFormat="1" applyFont="1" applyFill="1" applyBorder="1" applyAlignment="1">
      <alignment horizontal="center" vertical="center"/>
    </xf>
    <xf numFmtId="1" fontId="20" fillId="7" borderId="53" xfId="1" applyNumberFormat="1" applyFont="1" applyFill="1" applyBorder="1" applyAlignment="1">
      <alignment horizontal="center" vertical="center"/>
    </xf>
    <xf numFmtId="1" fontId="20" fillId="15" borderId="57" xfId="1" applyNumberFormat="1" applyFont="1" applyFill="1" applyBorder="1" applyAlignment="1">
      <alignment horizontal="center" vertical="center"/>
    </xf>
    <xf numFmtId="1" fontId="20" fillId="15" borderId="54" xfId="1" applyNumberFormat="1" applyFont="1" applyFill="1" applyBorder="1" applyAlignment="1">
      <alignment horizontal="center" vertical="center"/>
    </xf>
    <xf numFmtId="1" fontId="18" fillId="15" borderId="54" xfId="1" applyNumberFormat="1" applyFont="1" applyFill="1" applyBorder="1" applyAlignment="1">
      <alignment horizontal="center" vertical="center"/>
    </xf>
    <xf numFmtId="1" fontId="20" fillId="7" borderId="59" xfId="1" applyNumberFormat="1" applyFont="1" applyFill="1" applyBorder="1" applyAlignment="1">
      <alignment horizontal="center" vertical="center"/>
    </xf>
    <xf numFmtId="1" fontId="20" fillId="7" borderId="54" xfId="1" applyNumberFormat="1" applyFont="1" applyFill="1" applyBorder="1" applyAlignment="1">
      <alignment horizontal="center" vertical="center"/>
    </xf>
    <xf numFmtId="1" fontId="34" fillId="7" borderId="52" xfId="1" applyNumberFormat="1" applyFont="1" applyFill="1" applyBorder="1" applyAlignment="1">
      <alignment horizontal="center" vertical="center"/>
    </xf>
    <xf numFmtId="1" fontId="34" fillId="7" borderId="60" xfId="1" applyNumberFormat="1" applyFont="1" applyFill="1" applyBorder="1" applyAlignment="1">
      <alignment horizontal="center" vertical="center"/>
    </xf>
    <xf numFmtId="1" fontId="34" fillId="7" borderId="53" xfId="1" applyNumberFormat="1" applyFont="1" applyFill="1" applyBorder="1" applyAlignment="1">
      <alignment horizontal="center" vertical="center"/>
    </xf>
    <xf numFmtId="1" fontId="34" fillId="7" borderId="61" xfId="1" applyNumberFormat="1" applyFont="1" applyFill="1" applyBorder="1" applyAlignment="1">
      <alignment horizontal="center" vertical="center"/>
    </xf>
    <xf numFmtId="1" fontId="34" fillId="7" borderId="54" xfId="1" applyNumberFormat="1" applyFont="1" applyFill="1" applyBorder="1" applyAlignment="1">
      <alignment horizontal="center" vertical="center"/>
    </xf>
    <xf numFmtId="1" fontId="34" fillId="7" borderId="62" xfId="1" applyNumberFormat="1" applyFont="1" applyFill="1" applyBorder="1" applyAlignment="1">
      <alignment horizontal="center" vertical="center"/>
    </xf>
    <xf numFmtId="3" fontId="20" fillId="7" borderId="4" xfId="1" applyNumberFormat="1" applyFont="1" applyFill="1" applyBorder="1" applyAlignment="1">
      <alignment horizontal="center" vertical="center"/>
    </xf>
    <xf numFmtId="9" fontId="20" fillId="7" borderId="9" xfId="1" applyNumberFormat="1" applyFont="1" applyFill="1" applyBorder="1" applyAlignment="1">
      <alignment horizontal="center" vertical="center"/>
    </xf>
    <xf numFmtId="170" fontId="20" fillId="7" borderId="4" xfId="1" applyNumberFormat="1" applyFont="1" applyFill="1" applyBorder="1" applyAlignment="1">
      <alignment horizontal="center" vertical="center"/>
    </xf>
    <xf numFmtId="171" fontId="8" fillId="6" borderId="9" xfId="1" applyNumberFormat="1" applyFont="1" applyFill="1" applyBorder="1" applyAlignment="1">
      <alignment horizontal="center" vertical="center"/>
    </xf>
    <xf numFmtId="170" fontId="3" fillId="11" borderId="4" xfId="1" applyNumberFormat="1" applyFont="1" applyFill="1" applyBorder="1" applyAlignment="1">
      <alignment horizontal="center" vertical="center"/>
    </xf>
    <xf numFmtId="171" fontId="3" fillId="14" borderId="4" xfId="1" applyNumberFormat="1" applyFont="1" applyFill="1" applyBorder="1" applyAlignment="1">
      <alignment horizontal="center" vertical="center"/>
    </xf>
    <xf numFmtId="171" fontId="3" fillId="11" borderId="4" xfId="1" applyNumberFormat="1" applyFont="1" applyFill="1" applyBorder="1" applyAlignment="1">
      <alignment horizontal="center" vertical="center"/>
    </xf>
    <xf numFmtId="168" fontId="3" fillId="11" borderId="4" xfId="1" applyNumberFormat="1" applyFont="1" applyFill="1" applyBorder="1" applyAlignment="1">
      <alignment horizontal="center" vertical="center"/>
    </xf>
    <xf numFmtId="170" fontId="8" fillId="11" borderId="4" xfId="1" applyNumberFormat="1" applyFont="1" applyFill="1" applyBorder="1" applyAlignment="1">
      <alignment horizontal="center" vertical="center"/>
    </xf>
    <xf numFmtId="171" fontId="8" fillId="5" borderId="9" xfId="1" applyNumberFormat="1" applyFont="1" applyFill="1" applyBorder="1" applyAlignment="1">
      <alignment horizontal="center" vertical="center"/>
    </xf>
    <xf numFmtId="170" fontId="8" fillId="11" borderId="9" xfId="1" applyNumberFormat="1" applyFont="1" applyFill="1" applyBorder="1" applyAlignment="1">
      <alignment horizontal="center" vertical="center"/>
    </xf>
    <xf numFmtId="49" fontId="4" fillId="17" borderId="4" xfId="1" applyNumberFormat="1" applyFont="1" applyFill="1" applyBorder="1" applyAlignment="1">
      <alignment horizontal="center" vertical="center" wrapText="1"/>
    </xf>
    <xf numFmtId="0" fontId="11" fillId="17" borderId="4" xfId="1" applyFont="1" applyFill="1" applyBorder="1" applyAlignment="1">
      <alignment horizontal="center" vertical="center" wrapText="1"/>
    </xf>
    <xf numFmtId="171" fontId="8" fillId="16" borderId="4" xfId="1" applyNumberFormat="1" applyFont="1" applyFill="1" applyBorder="1" applyAlignment="1">
      <alignment horizontal="center" vertical="center"/>
    </xf>
    <xf numFmtId="171" fontId="3" fillId="18" borderId="4" xfId="1" applyNumberFormat="1" applyFont="1" applyFill="1" applyBorder="1" applyAlignment="1">
      <alignment horizontal="center" vertical="center"/>
    </xf>
    <xf numFmtId="171" fontId="3" fillId="18" borderId="9" xfId="1" applyNumberFormat="1" applyFont="1" applyFill="1" applyBorder="1" applyAlignment="1">
      <alignment horizontal="center" vertical="center"/>
    </xf>
    <xf numFmtId="49" fontId="20" fillId="19" borderId="12" xfId="1" applyNumberFormat="1" applyFont="1" applyFill="1" applyBorder="1" applyAlignment="1">
      <alignment horizontal="center" vertical="center" wrapText="1"/>
    </xf>
    <xf numFmtId="170" fontId="4" fillId="20" borderId="4" xfId="1" applyNumberFormat="1" applyFont="1" applyFill="1" applyBorder="1" applyAlignment="1">
      <alignment horizontal="center" vertical="center"/>
    </xf>
    <xf numFmtId="49" fontId="4" fillId="4" borderId="25" xfId="1" applyNumberFormat="1" applyFont="1" applyFill="1" applyBorder="1" applyAlignment="1">
      <alignment horizontal="center" vertical="center" wrapText="1"/>
    </xf>
    <xf numFmtId="49" fontId="4" fillId="4" borderId="4" xfId="1" applyNumberFormat="1" applyFont="1" applyFill="1" applyBorder="1" applyAlignment="1">
      <alignment horizontal="center" vertical="center" wrapText="1"/>
    </xf>
    <xf numFmtId="49" fontId="4" fillId="6" borderId="4" xfId="1" applyNumberFormat="1" applyFont="1" applyFill="1" applyBorder="1" applyAlignment="1">
      <alignment horizontal="center" vertical="center" wrapText="1"/>
    </xf>
    <xf numFmtId="0" fontId="11" fillId="6" borderId="4" xfId="1" applyFont="1" applyFill="1" applyBorder="1" applyAlignment="1">
      <alignment horizontal="center" vertical="center" wrapText="1"/>
    </xf>
    <xf numFmtId="1" fontId="20" fillId="9" borderId="64" xfId="1" applyNumberFormat="1" applyFont="1" applyFill="1" applyBorder="1" applyAlignment="1">
      <alignment horizontal="center" vertical="center"/>
    </xf>
    <xf numFmtId="165" fontId="20" fillId="9" borderId="65" xfId="1" applyNumberFormat="1" applyFont="1" applyFill="1" applyBorder="1" applyAlignment="1">
      <alignment horizontal="center" vertical="center"/>
    </xf>
    <xf numFmtId="2" fontId="18" fillId="8" borderId="66" xfId="1" applyNumberFormat="1" applyFont="1" applyFill="1" applyBorder="1" applyAlignment="1">
      <alignment horizontal="center" vertical="center"/>
    </xf>
    <xf numFmtId="168" fontId="20" fillId="9" borderId="65" xfId="1" applyNumberFormat="1" applyFont="1" applyFill="1" applyBorder="1" applyAlignment="1">
      <alignment horizontal="center" vertical="center"/>
    </xf>
    <xf numFmtId="169" fontId="18" fillId="8" borderId="66" xfId="1" applyNumberFormat="1" applyFont="1" applyFill="1" applyBorder="1" applyAlignment="1">
      <alignment horizontal="center" vertical="center"/>
    </xf>
    <xf numFmtId="171" fontId="18" fillId="8" borderId="66" xfId="1" applyNumberFormat="1" applyFont="1" applyFill="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4" fillId="12" borderId="11" xfId="1" applyFont="1" applyFill="1" applyBorder="1" applyAlignment="1">
      <alignment horizontal="center" vertical="center" wrapText="1"/>
    </xf>
    <xf numFmtId="0" fontId="37" fillId="0" borderId="0" xfId="1" applyFont="1"/>
    <xf numFmtId="0" fontId="38" fillId="0" borderId="0" xfId="1" applyFont="1"/>
    <xf numFmtId="169" fontId="18" fillId="15" borderId="4" xfId="1" applyNumberFormat="1" applyFont="1" applyFill="1" applyBorder="1" applyAlignment="1">
      <alignment horizontal="center" vertical="center"/>
    </xf>
    <xf numFmtId="9" fontId="11" fillId="11" borderId="4" xfId="1" applyNumberFormat="1" applyFont="1" applyFill="1" applyBorder="1" applyAlignment="1">
      <alignment horizontal="center" vertical="center"/>
    </xf>
    <xf numFmtId="1" fontId="11" fillId="0" borderId="3" xfId="1" applyNumberFormat="1" applyFont="1" applyBorder="1" applyAlignment="1">
      <alignment horizontal="center" vertical="center"/>
    </xf>
    <xf numFmtId="1" fontId="2" fillId="11" borderId="39" xfId="1" applyNumberFormat="1" applyFont="1" applyFill="1" applyBorder="1" applyAlignment="1">
      <alignment horizontal="center" vertical="center"/>
    </xf>
    <xf numFmtId="2" fontId="2" fillId="11" borderId="39" xfId="1" applyNumberFormat="1" applyFont="1" applyFill="1" applyBorder="1" applyAlignment="1">
      <alignment horizontal="center" vertical="center"/>
    </xf>
    <xf numFmtId="1" fontId="3" fillId="0" borderId="11" xfId="1" applyNumberFormat="1" applyFont="1" applyBorder="1" applyAlignment="1">
      <alignment horizontal="center" vertical="center"/>
    </xf>
    <xf numFmtId="1" fontId="11" fillId="11" borderId="9" xfId="1" applyNumberFormat="1" applyFont="1" applyFill="1" applyBorder="1" applyAlignment="1">
      <alignment horizontal="center" vertical="center"/>
    </xf>
    <xf numFmtId="0" fontId="2" fillId="0" borderId="39" xfId="1" applyFont="1" applyBorder="1" applyAlignment="1">
      <alignment horizontal="center" vertical="center"/>
    </xf>
    <xf numFmtId="0" fontId="39" fillId="0" borderId="0" xfId="1" applyFont="1"/>
    <xf numFmtId="165" fontId="20" fillId="7" borderId="4" xfId="1" applyNumberFormat="1" applyFont="1" applyFill="1" applyBorder="1" applyAlignment="1">
      <alignment horizontal="center" vertical="center"/>
    </xf>
    <xf numFmtId="0" fontId="4" fillId="11" borderId="0" xfId="1" applyFont="1" applyFill="1"/>
    <xf numFmtId="0" fontId="19" fillId="11" borderId="0" xfId="3" applyFill="1" applyBorder="1" applyAlignment="1"/>
    <xf numFmtId="0" fontId="25" fillId="11" borderId="0" xfId="1" applyFont="1" applyFill="1"/>
    <xf numFmtId="0" fontId="6" fillId="7" borderId="39" xfId="1" applyFont="1" applyFill="1" applyBorder="1"/>
    <xf numFmtId="0" fontId="21" fillId="11" borderId="0" xfId="1" applyFont="1" applyFill="1" applyAlignment="1">
      <alignment horizontal="right" vertical="center"/>
    </xf>
    <xf numFmtId="0" fontId="20" fillId="11" borderId="0" xfId="1" applyFont="1" applyFill="1" applyAlignment="1">
      <alignment horizontal="right" vertical="center"/>
    </xf>
    <xf numFmtId="1" fontId="20" fillId="11" borderId="40" xfId="1" applyNumberFormat="1" applyFont="1" applyFill="1" applyBorder="1" applyAlignment="1">
      <alignment horizontal="center" vertical="center"/>
    </xf>
    <xf numFmtId="167" fontId="11" fillId="11" borderId="12" xfId="1" applyNumberFormat="1" applyFont="1" applyFill="1" applyBorder="1" applyAlignment="1">
      <alignment horizontal="center" vertical="center"/>
    </xf>
    <xf numFmtId="1" fontId="47" fillId="8" borderId="8" xfId="1" applyNumberFormat="1" applyFont="1" applyFill="1" applyBorder="1" applyAlignment="1">
      <alignment horizontal="center" vertical="center"/>
    </xf>
    <xf numFmtId="0" fontId="39" fillId="0" borderId="0" xfId="1" applyFont="1" applyAlignment="1">
      <alignment horizontal="right"/>
    </xf>
    <xf numFmtId="164" fontId="24" fillId="22" borderId="38" xfId="1" applyNumberFormat="1" applyFont="1" applyFill="1" applyBorder="1" applyAlignment="1">
      <alignment horizontal="center" vertical="center"/>
    </xf>
    <xf numFmtId="1" fontId="24" fillId="22" borderId="13" xfId="1" applyNumberFormat="1" applyFont="1" applyFill="1" applyBorder="1" applyAlignment="1">
      <alignment horizontal="center" vertical="center"/>
    </xf>
    <xf numFmtId="167" fontId="24" fillId="23" borderId="33" xfId="1" applyNumberFormat="1" applyFont="1" applyFill="1" applyBorder="1" applyAlignment="1">
      <alignment horizontal="center" vertical="center"/>
    </xf>
    <xf numFmtId="49" fontId="24" fillId="24" borderId="26" xfId="1" applyNumberFormat="1" applyFont="1" applyFill="1" applyBorder="1" applyAlignment="1">
      <alignment horizontal="center" vertical="center" wrapText="1"/>
    </xf>
    <xf numFmtId="0" fontId="8" fillId="12" borderId="27" xfId="1" applyFont="1" applyFill="1" applyBorder="1" applyAlignment="1">
      <alignment horizontal="center" vertical="center"/>
    </xf>
    <xf numFmtId="0" fontId="8" fillId="12" borderId="28" xfId="1" applyFont="1" applyFill="1" applyBorder="1" applyAlignment="1">
      <alignment horizontal="center" vertical="center"/>
    </xf>
    <xf numFmtId="0" fontId="8" fillId="12" borderId="29" xfId="1" applyFont="1" applyFill="1" applyBorder="1" applyAlignment="1">
      <alignment horizontal="center" vertical="center"/>
    </xf>
    <xf numFmtId="0" fontId="8" fillId="12" borderId="43" xfId="1" applyFont="1" applyFill="1" applyBorder="1" applyAlignment="1">
      <alignment horizontal="center" vertical="center"/>
    </xf>
    <xf numFmtId="0" fontId="48" fillId="12" borderId="39" xfId="1" applyFont="1" applyFill="1" applyBorder="1" applyAlignment="1">
      <alignment horizontal="center"/>
    </xf>
    <xf numFmtId="165" fontId="11" fillId="25" borderId="12" xfId="1" applyNumberFormat="1" applyFont="1" applyFill="1" applyBorder="1" applyAlignment="1">
      <alignment horizontal="center" vertical="center"/>
    </xf>
    <xf numFmtId="165" fontId="11" fillId="25" borderId="4" xfId="1" applyNumberFormat="1" applyFont="1" applyFill="1" applyBorder="1" applyAlignment="1">
      <alignment horizontal="center" vertical="center"/>
    </xf>
    <xf numFmtId="0" fontId="6" fillId="25" borderId="39" xfId="1" applyFont="1" applyFill="1" applyBorder="1"/>
    <xf numFmtId="1" fontId="11" fillId="25" borderId="10" xfId="1" applyNumberFormat="1" applyFont="1" applyFill="1" applyBorder="1" applyAlignment="1">
      <alignment horizontal="center" vertical="center"/>
    </xf>
    <xf numFmtId="1" fontId="11" fillId="25" borderId="33" xfId="1" applyNumberFormat="1" applyFont="1" applyFill="1" applyBorder="1" applyAlignment="1">
      <alignment horizontal="center" vertical="center"/>
    </xf>
    <xf numFmtId="1" fontId="11" fillId="25" borderId="4" xfId="1" applyNumberFormat="1" applyFont="1" applyFill="1" applyBorder="1" applyAlignment="1">
      <alignment horizontal="center" vertical="center"/>
    </xf>
    <xf numFmtId="1" fontId="11" fillId="26" borderId="66" xfId="1" applyNumberFormat="1" applyFont="1" applyFill="1" applyBorder="1" applyAlignment="1">
      <alignment horizontal="center" vertical="center"/>
    </xf>
    <xf numFmtId="2" fontId="11" fillId="25" borderId="4" xfId="1" applyNumberFormat="1" applyFont="1" applyFill="1" applyBorder="1" applyAlignment="1">
      <alignment horizontal="center" vertical="center"/>
    </xf>
    <xf numFmtId="2" fontId="11" fillId="25" borderId="9" xfId="1" applyNumberFormat="1" applyFont="1" applyFill="1" applyBorder="1" applyAlignment="1">
      <alignment horizontal="center" vertical="center"/>
    </xf>
    <xf numFmtId="2" fontId="11" fillId="25" borderId="11" xfId="1" applyNumberFormat="1" applyFont="1" applyFill="1" applyBorder="1" applyAlignment="1">
      <alignment horizontal="center" vertical="center"/>
    </xf>
    <xf numFmtId="2" fontId="11" fillId="25" borderId="50" xfId="1" applyNumberFormat="1" applyFont="1" applyFill="1" applyBorder="1" applyAlignment="1">
      <alignment horizontal="center" vertical="center"/>
    </xf>
    <xf numFmtId="49" fontId="4" fillId="27" borderId="12" xfId="1" applyNumberFormat="1" applyFont="1" applyFill="1" applyBorder="1" applyAlignment="1">
      <alignment horizontal="center" vertical="center" wrapText="1"/>
    </xf>
    <xf numFmtId="0" fontId="11" fillId="27" borderId="0" xfId="1" applyFont="1" applyFill="1" applyAlignment="1">
      <alignment horizontal="center" vertical="center" wrapText="1"/>
    </xf>
    <xf numFmtId="49" fontId="4" fillId="18" borderId="12" xfId="1" applyNumberFormat="1" applyFont="1" applyFill="1" applyBorder="1" applyAlignment="1">
      <alignment horizontal="center" vertical="center" wrapText="1"/>
    </xf>
    <xf numFmtId="171" fontId="4" fillId="23" borderId="4" xfId="1" applyNumberFormat="1" applyFont="1" applyFill="1" applyBorder="1" applyAlignment="1">
      <alignment horizontal="center" vertical="center" wrapText="1"/>
    </xf>
    <xf numFmtId="0" fontId="3" fillId="0" borderId="0" xfId="1" applyFont="1" applyBorder="1"/>
    <xf numFmtId="0" fontId="1" fillId="0" borderId="0" xfId="1" applyBorder="1"/>
    <xf numFmtId="0" fontId="8" fillId="0" borderId="0" xfId="1" applyFont="1" applyBorder="1"/>
    <xf numFmtId="0" fontId="39" fillId="11" borderId="0" xfId="1" applyFont="1" applyFill="1" applyBorder="1"/>
    <xf numFmtId="0" fontId="49" fillId="11" borderId="0" xfId="3" applyFont="1" applyFill="1" applyBorder="1" applyAlignment="1"/>
    <xf numFmtId="0" fontId="50" fillId="11" borderId="0" xfId="1" applyFont="1" applyFill="1" applyBorder="1"/>
    <xf numFmtId="0" fontId="51" fillId="11" borderId="0" xfId="1" applyFont="1" applyFill="1" applyBorder="1"/>
    <xf numFmtId="0" fontId="39" fillId="11" borderId="0" xfId="1" applyFont="1" applyFill="1" applyBorder="1" applyAlignment="1">
      <alignment horizontal="center" vertical="center"/>
    </xf>
    <xf numFmtId="0" fontId="52" fillId="11" borderId="0" xfId="1" applyFont="1" applyFill="1" applyBorder="1" applyAlignment="1">
      <alignment horizontal="right" vertical="center"/>
    </xf>
    <xf numFmtId="0" fontId="51" fillId="11" borderId="0" xfId="1" applyFont="1" applyFill="1" applyBorder="1" applyAlignment="1">
      <alignment horizontal="center" vertical="center"/>
    </xf>
    <xf numFmtId="0" fontId="39" fillId="14" borderId="0" xfId="1" applyFont="1" applyFill="1" applyBorder="1"/>
    <xf numFmtId="0" fontId="39" fillId="11" borderId="0" xfId="1" applyFont="1" applyFill="1" applyBorder="1" applyAlignment="1">
      <alignment horizontal="right" vertical="center"/>
    </xf>
    <xf numFmtId="0" fontId="43" fillId="0" borderId="19" xfId="1" applyFont="1" applyBorder="1"/>
    <xf numFmtId="0" fontId="3" fillId="0" borderId="19" xfId="1" applyFont="1" applyBorder="1"/>
    <xf numFmtId="0" fontId="3" fillId="0" borderId="20" xfId="1" applyFont="1" applyBorder="1"/>
    <xf numFmtId="0" fontId="42" fillId="0" borderId="63" xfId="1" applyFont="1" applyBorder="1"/>
    <xf numFmtId="0" fontId="43" fillId="0" borderId="0" xfId="1" applyFont="1" applyBorder="1"/>
    <xf numFmtId="0" fontId="3" fillId="0" borderId="69" xfId="1" applyFont="1" applyBorder="1"/>
    <xf numFmtId="0" fontId="8" fillId="0" borderId="63" xfId="1" applyFont="1" applyBorder="1" applyAlignment="1">
      <alignment horizontal="left"/>
    </xf>
    <xf numFmtId="0" fontId="8" fillId="0" borderId="0" xfId="1" applyFont="1" applyBorder="1" applyAlignment="1">
      <alignment horizontal="left"/>
    </xf>
    <xf numFmtId="0" fontId="6" fillId="0" borderId="0" xfId="1" applyFont="1" applyBorder="1"/>
    <xf numFmtId="0" fontId="6" fillId="0" borderId="63" xfId="1" applyFont="1" applyBorder="1"/>
    <xf numFmtId="0" fontId="6" fillId="0" borderId="41" xfId="1" applyFont="1" applyBorder="1"/>
    <xf numFmtId="0" fontId="3" fillId="0" borderId="40" xfId="1" applyFont="1" applyBorder="1"/>
    <xf numFmtId="0" fontId="21" fillId="11" borderId="0" xfId="1" applyFont="1" applyFill="1" applyBorder="1"/>
    <xf numFmtId="0" fontId="11" fillId="0" borderId="39" xfId="1" applyFont="1" applyBorder="1"/>
    <xf numFmtId="0" fontId="42" fillId="0" borderId="0" xfId="1" applyFont="1" applyBorder="1"/>
    <xf numFmtId="0" fontId="54" fillId="11" borderId="0" xfId="1" applyFont="1" applyFill="1" applyBorder="1" applyAlignment="1">
      <alignment horizontal="left" vertical="center"/>
    </xf>
    <xf numFmtId="0" fontId="39" fillId="11" borderId="0" xfId="1" applyFont="1" applyFill="1" applyBorder="1" applyAlignment="1">
      <alignment horizontal="left" vertical="center" wrapText="1"/>
    </xf>
    <xf numFmtId="0" fontId="39" fillId="11" borderId="0" xfId="1" applyFont="1" applyFill="1" applyBorder="1" applyAlignment="1">
      <alignment horizontal="left"/>
    </xf>
    <xf numFmtId="0" fontId="39" fillId="11" borderId="0" xfId="1" applyFont="1" applyFill="1" applyBorder="1" applyAlignment="1">
      <alignment horizontal="left" wrapText="1"/>
    </xf>
    <xf numFmtId="0" fontId="3" fillId="0" borderId="0" xfId="1" applyFont="1" applyBorder="1" applyAlignment="1">
      <alignment horizontal="left" vertical="top" wrapText="1"/>
    </xf>
    <xf numFmtId="0" fontId="3" fillId="0" borderId="69" xfId="1" applyFont="1" applyBorder="1" applyAlignment="1">
      <alignment horizontal="left" vertical="top" wrapText="1"/>
    </xf>
    <xf numFmtId="0" fontId="3" fillId="0" borderId="40" xfId="1" applyFont="1" applyBorder="1" applyAlignment="1">
      <alignment horizontal="left" vertical="top" wrapText="1"/>
    </xf>
    <xf numFmtId="0" fontId="3" fillId="0" borderId="32" xfId="1" applyFont="1" applyBorder="1" applyAlignment="1">
      <alignment horizontal="left" vertical="top" wrapText="1"/>
    </xf>
    <xf numFmtId="49" fontId="44" fillId="11" borderId="11" xfId="1" applyNumberFormat="1" applyFont="1" applyFill="1" applyBorder="1" applyAlignment="1">
      <alignment horizontal="left" vertical="center" wrapText="1"/>
    </xf>
    <xf numFmtId="49" fontId="44" fillId="11" borderId="2" xfId="1" applyNumberFormat="1" applyFont="1" applyFill="1" applyBorder="1" applyAlignment="1">
      <alignment horizontal="left" vertical="center" wrapText="1"/>
    </xf>
    <xf numFmtId="49" fontId="44" fillId="11" borderId="3" xfId="1" applyNumberFormat="1" applyFont="1" applyFill="1" applyBorder="1" applyAlignment="1">
      <alignment horizontal="left" vertical="center" wrapText="1"/>
    </xf>
    <xf numFmtId="0" fontId="54" fillId="11" borderId="0" xfId="1" applyFont="1" applyFill="1" applyBorder="1" applyAlignment="1">
      <alignment horizontal="left" wrapText="1"/>
    </xf>
    <xf numFmtId="0" fontId="50" fillId="11" borderId="0" xfId="1" applyFont="1" applyFill="1" applyBorder="1" applyAlignment="1">
      <alignment horizontal="left"/>
    </xf>
    <xf numFmtId="0" fontId="55" fillId="11" borderId="0" xfId="1" applyFont="1" applyFill="1" applyBorder="1" applyAlignment="1">
      <alignment horizontal="left"/>
    </xf>
    <xf numFmtId="0" fontId="8" fillId="0" borderId="63" xfId="1" applyFont="1" applyBorder="1" applyAlignment="1">
      <alignment horizontal="left"/>
    </xf>
    <xf numFmtId="0" fontId="8" fillId="0" borderId="0" xfId="1" applyFont="1" applyBorder="1" applyAlignment="1">
      <alignment horizontal="left"/>
    </xf>
    <xf numFmtId="0" fontId="3" fillId="0" borderId="40" xfId="1" applyFont="1" applyBorder="1" applyAlignment="1">
      <alignment horizontal="center"/>
    </xf>
    <xf numFmtId="0" fontId="13" fillId="0" borderId="63" xfId="1" applyFont="1" applyBorder="1" applyAlignment="1">
      <alignment horizontal="center" vertical="center" wrapText="1"/>
    </xf>
    <xf numFmtId="0" fontId="13" fillId="0" borderId="0" xfId="1" applyFont="1" applyAlignment="1">
      <alignment horizontal="center" vertical="center" wrapText="1"/>
    </xf>
    <xf numFmtId="0" fontId="3" fillId="0" borderId="2" xfId="1" applyFont="1" applyBorder="1" applyAlignment="1">
      <alignment horizontal="left" vertical="top" wrapText="1"/>
    </xf>
    <xf numFmtId="0" fontId="9" fillId="0" borderId="2" xfId="1" applyFont="1" applyBorder="1" applyAlignment="1"/>
    <xf numFmtId="0" fontId="9" fillId="0" borderId="3" xfId="1" applyFont="1" applyBorder="1" applyAlignment="1"/>
    <xf numFmtId="0" fontId="24" fillId="12" borderId="15" xfId="1" applyFont="1" applyFill="1" applyBorder="1" applyAlignment="1">
      <alignment horizontal="left" vertical="center"/>
    </xf>
    <xf numFmtId="0" fontId="24" fillId="12" borderId="16" xfId="1" applyFont="1" applyFill="1" applyBorder="1" applyAlignment="1">
      <alignment horizontal="left" vertical="center"/>
    </xf>
    <xf numFmtId="0" fontId="24" fillId="12" borderId="17" xfId="1" applyFont="1" applyFill="1" applyBorder="1" applyAlignment="1">
      <alignment horizontal="left" vertical="center"/>
    </xf>
    <xf numFmtId="0" fontId="52" fillId="11" borderId="0" xfId="1" applyFont="1" applyFill="1" applyBorder="1" applyAlignment="1">
      <alignment horizontal="right" vertical="center"/>
    </xf>
    <xf numFmtId="49" fontId="24" fillId="12" borderId="15" xfId="1" applyNumberFormat="1" applyFont="1" applyFill="1" applyBorder="1" applyAlignment="1">
      <alignment horizontal="left" vertical="top"/>
    </xf>
    <xf numFmtId="49" fontId="24" fillId="12" borderId="16" xfId="1" applyNumberFormat="1" applyFont="1" applyFill="1" applyBorder="1" applyAlignment="1">
      <alignment horizontal="left" vertical="top"/>
    </xf>
    <xf numFmtId="49" fontId="24" fillId="12" borderId="17" xfId="1" applyNumberFormat="1" applyFont="1" applyFill="1" applyBorder="1" applyAlignment="1">
      <alignment horizontal="left" vertical="top"/>
    </xf>
    <xf numFmtId="49" fontId="21" fillId="8" borderId="5" xfId="1" applyNumberFormat="1" applyFont="1" applyFill="1" applyBorder="1" applyAlignment="1">
      <alignment horizontal="right" vertical="center" wrapText="1"/>
    </xf>
    <xf numFmtId="0" fontId="27" fillId="9" borderId="2" xfId="1" applyFont="1" applyFill="1" applyBorder="1" applyAlignment="1">
      <alignment horizontal="right" vertical="center"/>
    </xf>
    <xf numFmtId="49" fontId="3" fillId="0" borderId="6" xfId="1" applyNumberFormat="1" applyFont="1" applyBorder="1" applyAlignment="1">
      <alignment horizontal="left" vertical="top" wrapText="1"/>
    </xf>
    <xf numFmtId="0" fontId="9" fillId="0" borderId="7" xfId="1" applyFont="1" applyBorder="1" applyAlignment="1"/>
    <xf numFmtId="0" fontId="9" fillId="0" borderId="8" xfId="1" applyFont="1" applyBorder="1" applyAlignment="1"/>
    <xf numFmtId="0" fontId="21" fillId="9" borderId="33" xfId="1" applyFont="1" applyFill="1" applyBorder="1" applyAlignment="1">
      <alignment horizontal="right" vertical="center"/>
    </xf>
    <xf numFmtId="0" fontId="20" fillId="9" borderId="33" xfId="1" applyFont="1" applyFill="1" applyBorder="1" applyAlignment="1">
      <alignment horizontal="right" vertical="center"/>
    </xf>
    <xf numFmtId="0" fontId="20" fillId="9" borderId="47" xfId="1" applyFont="1" applyFill="1" applyBorder="1" applyAlignment="1">
      <alignment horizontal="right" vertical="center"/>
    </xf>
    <xf numFmtId="49" fontId="21" fillId="9" borderId="34" xfId="1" applyNumberFormat="1" applyFont="1" applyFill="1" applyBorder="1" applyAlignment="1">
      <alignment horizontal="right" vertical="top" wrapText="1"/>
    </xf>
    <xf numFmtId="0" fontId="27" fillId="9" borderId="35" xfId="1" applyFont="1" applyFill="1" applyBorder="1" applyAlignment="1">
      <alignment horizontal="right"/>
    </xf>
    <xf numFmtId="0" fontId="3" fillId="0" borderId="35" xfId="1" applyFont="1" applyBorder="1" applyAlignment="1">
      <alignment horizontal="left" vertical="top" wrapText="1"/>
    </xf>
    <xf numFmtId="0" fontId="9" fillId="0" borderId="35" xfId="1" applyFont="1" applyBorder="1" applyAlignment="1"/>
    <xf numFmtId="0" fontId="9" fillId="0" borderId="36" xfId="1" applyFont="1" applyBorder="1" applyAlignment="1"/>
    <xf numFmtId="49" fontId="3" fillId="2" borderId="11" xfId="1" applyNumberFormat="1" applyFont="1" applyFill="1" applyBorder="1" applyAlignment="1">
      <alignment horizontal="left" vertical="center" wrapText="1"/>
    </xf>
    <xf numFmtId="0" fontId="9" fillId="0" borderId="2" xfId="1" applyFont="1" applyBorder="1" applyAlignment="1">
      <alignment horizontal="left" vertical="center"/>
    </xf>
    <xf numFmtId="0" fontId="9" fillId="0" borderId="3" xfId="1" applyFont="1" applyBorder="1" applyAlignment="1">
      <alignment horizontal="left" vertical="center"/>
    </xf>
    <xf numFmtId="49" fontId="3" fillId="3" borderId="11" xfId="1" applyNumberFormat="1" applyFont="1" applyFill="1" applyBorder="1" applyAlignment="1">
      <alignment horizontal="left" vertical="center" wrapText="1"/>
    </xf>
    <xf numFmtId="0" fontId="1" fillId="0" borderId="42" xfId="1" applyBorder="1" applyAlignment="1"/>
    <xf numFmtId="0" fontId="1" fillId="0" borderId="10" xfId="1" applyBorder="1" applyAlignment="1"/>
    <xf numFmtId="0" fontId="1" fillId="0" borderId="10" xfId="1" applyBorder="1" applyAlignment="1">
      <alignment wrapText="1"/>
    </xf>
    <xf numFmtId="49" fontId="3" fillId="0" borderId="34" xfId="1" applyNumberFormat="1" applyFont="1" applyBorder="1" applyAlignment="1">
      <alignment horizontal="left" vertical="top" wrapText="1"/>
    </xf>
    <xf numFmtId="49" fontId="3" fillId="0" borderId="11" xfId="1" applyNumberFormat="1" applyFont="1" applyBorder="1" applyAlignment="1">
      <alignment horizontal="left" vertical="top" wrapText="1"/>
    </xf>
    <xf numFmtId="49" fontId="3" fillId="11" borderId="11" xfId="1" applyNumberFormat="1" applyFont="1" applyFill="1" applyBorder="1" applyAlignment="1">
      <alignment horizontal="left" vertical="top" wrapText="1"/>
    </xf>
    <xf numFmtId="0" fontId="9" fillId="11" borderId="2" xfId="1" applyFont="1" applyFill="1" applyBorder="1" applyAlignment="1"/>
    <xf numFmtId="0" fontId="9" fillId="11" borderId="3" xfId="1" applyFont="1" applyFill="1" applyBorder="1" applyAlignment="1"/>
    <xf numFmtId="49" fontId="3" fillId="0" borderId="11" xfId="1" applyNumberFormat="1" applyFont="1" applyBorder="1" applyAlignment="1">
      <alignment horizontal="left" vertical="top"/>
    </xf>
    <xf numFmtId="49" fontId="4" fillId="2" borderId="11" xfId="1" applyNumberFormat="1" applyFont="1" applyFill="1" applyBorder="1" applyAlignment="1">
      <alignment horizontal="left" vertical="center" wrapText="1"/>
    </xf>
    <xf numFmtId="0" fontId="17" fillId="0" borderId="2" xfId="1" applyFont="1" applyBorder="1" applyAlignment="1">
      <alignment vertical="center"/>
    </xf>
    <xf numFmtId="0" fontId="17" fillId="0" borderId="3" xfId="1" applyFont="1" applyBorder="1" applyAlignment="1">
      <alignment vertical="center"/>
    </xf>
    <xf numFmtId="0" fontId="53" fillId="11" borderId="0" xfId="1" applyFont="1" applyFill="1" applyBorder="1" applyAlignment="1">
      <alignment horizontal="right" vertical="center"/>
    </xf>
    <xf numFmtId="49" fontId="22" fillId="27" borderId="15" xfId="1" applyNumberFormat="1" applyFont="1" applyFill="1" applyBorder="1" applyAlignment="1">
      <alignment horizontal="center" vertical="center" wrapText="1"/>
    </xf>
    <xf numFmtId="49" fontId="22" fillId="27" borderId="16" xfId="1" applyNumberFormat="1" applyFont="1" applyFill="1" applyBorder="1" applyAlignment="1">
      <alignment horizontal="center" vertical="center" wrapText="1"/>
    </xf>
    <xf numFmtId="49" fontId="22" fillId="27" borderId="17" xfId="1" applyNumberFormat="1" applyFont="1" applyFill="1" applyBorder="1" applyAlignment="1">
      <alignment horizontal="center" vertical="center" wrapText="1"/>
    </xf>
    <xf numFmtId="49" fontId="22" fillId="21" borderId="37" xfId="1" applyNumberFormat="1" applyFont="1" applyFill="1" applyBorder="1" applyAlignment="1">
      <alignment horizontal="left" vertical="center" wrapText="1"/>
    </xf>
    <xf numFmtId="0" fontId="36" fillId="11" borderId="35" xfId="1" applyFont="1" applyFill="1" applyBorder="1" applyAlignment="1">
      <alignment vertical="center"/>
    </xf>
    <xf numFmtId="0" fontId="36" fillId="11" borderId="36" xfId="1" applyFont="1" applyFill="1" applyBorder="1" applyAlignment="1">
      <alignment vertical="center"/>
    </xf>
    <xf numFmtId="49" fontId="3" fillId="11" borderId="5" xfId="1" applyNumberFormat="1" applyFont="1" applyFill="1" applyBorder="1" applyAlignment="1">
      <alignment horizontal="left" vertical="top"/>
    </xf>
    <xf numFmtId="49" fontId="3" fillId="11" borderId="6" xfId="1" applyNumberFormat="1" applyFont="1" applyFill="1" applyBorder="1" applyAlignment="1">
      <alignment horizontal="left" vertical="top" wrapText="1"/>
    </xf>
    <xf numFmtId="0" fontId="9" fillId="11" borderId="7" xfId="1" applyFont="1" applyFill="1" applyBorder="1" applyAlignment="1"/>
    <xf numFmtId="0" fontId="9" fillId="11" borderId="8" xfId="1" applyFont="1" applyFill="1" applyBorder="1" applyAlignment="1"/>
    <xf numFmtId="49" fontId="4" fillId="4" borderId="21" xfId="1" applyNumberFormat="1" applyFont="1" applyFill="1" applyBorder="1" applyAlignment="1">
      <alignment horizontal="center" vertical="center" wrapText="1"/>
    </xf>
    <xf numFmtId="0" fontId="9" fillId="11" borderId="22" xfId="1" applyFont="1" applyFill="1" applyBorder="1" applyAlignment="1">
      <alignment horizontal="center" vertical="center"/>
    </xf>
    <xf numFmtId="49" fontId="2" fillId="6" borderId="23" xfId="1" applyNumberFormat="1" applyFont="1" applyFill="1" applyBorder="1" applyAlignment="1">
      <alignment horizontal="center" vertical="center" wrapText="1"/>
    </xf>
    <xf numFmtId="49" fontId="33" fillId="17" borderId="23" xfId="1" applyNumberFormat="1" applyFont="1" applyFill="1" applyBorder="1" applyAlignment="1">
      <alignment horizontal="center" vertical="center" wrapText="1"/>
    </xf>
    <xf numFmtId="49" fontId="33" fillId="17" borderId="24" xfId="1" applyNumberFormat="1" applyFont="1" applyFill="1" applyBorder="1" applyAlignment="1">
      <alignment horizontal="center" vertical="center" wrapText="1"/>
    </xf>
    <xf numFmtId="0" fontId="24" fillId="12" borderId="18" xfId="1" applyFont="1" applyFill="1" applyBorder="1" applyAlignment="1">
      <alignment horizontal="left" vertical="center"/>
    </xf>
    <xf numFmtId="0" fontId="24" fillId="12" borderId="19" xfId="1" applyFont="1" applyFill="1" applyBorder="1" applyAlignment="1">
      <alignment horizontal="left" vertical="center"/>
    </xf>
    <xf numFmtId="0" fontId="24" fillId="12" borderId="20" xfId="1" applyFont="1" applyFill="1" applyBorder="1" applyAlignment="1">
      <alignment horizontal="left" vertical="center"/>
    </xf>
    <xf numFmtId="0" fontId="24" fillId="12" borderId="41" xfId="1" applyFont="1" applyFill="1" applyBorder="1" applyAlignment="1">
      <alignment horizontal="left" vertical="center"/>
    </xf>
    <xf numFmtId="0" fontId="24" fillId="12" borderId="40" xfId="1" applyFont="1" applyFill="1" applyBorder="1" applyAlignment="1">
      <alignment horizontal="left" vertical="center"/>
    </xf>
    <xf numFmtId="0" fontId="24" fillId="12" borderId="32" xfId="1" applyFont="1" applyFill="1" applyBorder="1" applyAlignment="1">
      <alignment horizontal="left" vertical="center"/>
    </xf>
    <xf numFmtId="49" fontId="3" fillId="0" borderId="5" xfId="1" applyNumberFormat="1" applyFont="1" applyBorder="1" applyAlignment="1">
      <alignment horizontal="left" vertical="top"/>
    </xf>
    <xf numFmtId="49" fontId="3" fillId="11" borderId="5" xfId="1" applyNumberFormat="1" applyFont="1" applyFill="1" applyBorder="1" applyAlignment="1">
      <alignment horizontal="left" vertical="top" wrapText="1"/>
    </xf>
    <xf numFmtId="49" fontId="33" fillId="19" borderId="15" xfId="1" applyNumberFormat="1" applyFont="1" applyFill="1" applyBorder="1" applyAlignment="1">
      <alignment horizontal="center" vertical="center" wrapText="1"/>
    </xf>
    <xf numFmtId="49" fontId="33" fillId="19" borderId="16" xfId="1" applyNumberFormat="1" applyFont="1" applyFill="1" applyBorder="1" applyAlignment="1">
      <alignment horizontal="center" vertical="center" wrapText="1"/>
    </xf>
    <xf numFmtId="49" fontId="33" fillId="19" borderId="17" xfId="1" applyNumberFormat="1" applyFont="1" applyFill="1" applyBorder="1" applyAlignment="1">
      <alignment horizontal="center" vertical="center" wrapText="1"/>
    </xf>
    <xf numFmtId="0" fontId="3" fillId="11" borderId="51" xfId="1" applyFont="1" applyFill="1" applyBorder="1" applyAlignment="1">
      <alignment horizontal="left" vertical="center"/>
    </xf>
    <xf numFmtId="0" fontId="22" fillId="10" borderId="15" xfId="1" applyFont="1" applyFill="1" applyBorder="1" applyAlignment="1">
      <alignment horizontal="left" vertical="center"/>
    </xf>
    <xf numFmtId="0" fontId="22" fillId="10" borderId="16" xfId="1" applyFont="1" applyFill="1" applyBorder="1" applyAlignment="1">
      <alignment horizontal="left" vertical="center"/>
    </xf>
    <xf numFmtId="0" fontId="22" fillId="10" borderId="17" xfId="1" applyFont="1" applyFill="1" applyBorder="1" applyAlignment="1">
      <alignment horizontal="left" vertical="center"/>
    </xf>
    <xf numFmtId="0" fontId="29" fillId="10" borderId="15" xfId="1" applyFont="1" applyFill="1" applyBorder="1" applyAlignment="1">
      <alignment horizontal="left"/>
    </xf>
    <xf numFmtId="0" fontId="29" fillId="10" borderId="16" xfId="1" applyFont="1" applyFill="1" applyBorder="1" applyAlignment="1">
      <alignment horizontal="left"/>
    </xf>
    <xf numFmtId="0" fontId="29" fillId="10" borderId="17" xfId="1" applyFont="1" applyFill="1" applyBorder="1" applyAlignment="1">
      <alignment horizontal="left"/>
    </xf>
    <xf numFmtId="49" fontId="22" fillId="21" borderId="6" xfId="1" applyNumberFormat="1" applyFont="1" applyFill="1" applyBorder="1" applyAlignment="1">
      <alignment horizontal="left" vertical="center"/>
    </xf>
    <xf numFmtId="0" fontId="36" fillId="11" borderId="7" xfId="1" applyFont="1" applyFill="1" applyBorder="1" applyAlignment="1">
      <alignment vertical="center"/>
    </xf>
    <xf numFmtId="0" fontId="36" fillId="11" borderId="8" xfId="1" applyFont="1" applyFill="1" applyBorder="1" applyAlignment="1">
      <alignment vertical="center"/>
    </xf>
    <xf numFmtId="49" fontId="22" fillId="21" borderId="33" xfId="1" applyNumberFormat="1" applyFont="1" applyFill="1" applyBorder="1" applyAlignment="1">
      <alignment horizontal="left" vertical="center"/>
    </xf>
    <xf numFmtId="49" fontId="28" fillId="21" borderId="33" xfId="1" applyNumberFormat="1" applyFont="1" applyFill="1" applyBorder="1" applyAlignment="1">
      <alignment horizontal="left" vertical="center"/>
    </xf>
    <xf numFmtId="0" fontId="3" fillId="3" borderId="34" xfId="1" applyFont="1" applyFill="1" applyBorder="1" applyAlignment="1">
      <alignment horizontal="left" vertical="center" wrapText="1"/>
    </xf>
    <xf numFmtId="0" fontId="9" fillId="0" borderId="35" xfId="1" applyFont="1" applyBorder="1" applyAlignment="1">
      <alignment horizontal="left" vertical="center"/>
    </xf>
    <xf numFmtId="0" fontId="9" fillId="0" borderId="36" xfId="1" applyFont="1" applyBorder="1" applyAlignment="1">
      <alignment horizontal="left" vertical="center"/>
    </xf>
    <xf numFmtId="0" fontId="32" fillId="26" borderId="9" xfId="1" applyFont="1" applyFill="1" applyBorder="1" applyAlignment="1">
      <alignment horizontal="center" vertical="center"/>
    </xf>
    <xf numFmtId="0" fontId="32" fillId="26" borderId="12" xfId="1" applyFont="1" applyFill="1" applyBorder="1" applyAlignment="1">
      <alignment horizontal="center" vertical="center"/>
    </xf>
    <xf numFmtId="49" fontId="21" fillId="9" borderId="6" xfId="1" applyNumberFormat="1" applyFont="1" applyFill="1" applyBorder="1" applyAlignment="1">
      <alignment horizontal="right" vertical="center"/>
    </xf>
    <xf numFmtId="49" fontId="21" fillId="9" borderId="7" xfId="1" applyNumberFormat="1" applyFont="1" applyFill="1" applyBorder="1" applyAlignment="1">
      <alignment horizontal="right" vertical="center"/>
    </xf>
    <xf numFmtId="49" fontId="21" fillId="9" borderId="37" xfId="1" applyNumberFormat="1" applyFont="1" applyFill="1" applyBorder="1" applyAlignment="1">
      <alignment horizontal="right" vertical="center"/>
    </xf>
    <xf numFmtId="49" fontId="21" fillId="9" borderId="35" xfId="1" applyNumberFormat="1" applyFont="1" applyFill="1" applyBorder="1" applyAlignment="1">
      <alignment horizontal="right" vertical="center"/>
    </xf>
    <xf numFmtId="9" fontId="20" fillId="9" borderId="67" xfId="1" applyNumberFormat="1" applyFont="1" applyFill="1" applyBorder="1" applyAlignment="1">
      <alignment horizontal="center" vertical="center"/>
    </xf>
    <xf numFmtId="9" fontId="20" fillId="9" borderId="68" xfId="1" applyNumberFormat="1" applyFont="1" applyFill="1" applyBorder="1" applyAlignment="1">
      <alignment horizontal="center" vertical="center"/>
    </xf>
    <xf numFmtId="0" fontId="8" fillId="3" borderId="51" xfId="1" applyFont="1" applyFill="1" applyBorder="1" applyAlignment="1">
      <alignment horizontal="left" vertical="center"/>
    </xf>
    <xf numFmtId="49" fontId="33" fillId="15" borderId="50" xfId="1" applyNumberFormat="1" applyFont="1" applyFill="1" applyBorder="1" applyAlignment="1">
      <alignment horizontal="center" vertical="center" wrapText="1"/>
    </xf>
    <xf numFmtId="49" fontId="33" fillId="15" borderId="7" xfId="1" applyNumberFormat="1" applyFont="1" applyFill="1" applyBorder="1" applyAlignment="1">
      <alignment horizontal="center" vertical="center" wrapText="1"/>
    </xf>
    <xf numFmtId="49" fontId="33" fillId="15" borderId="51" xfId="1" applyNumberFormat="1" applyFont="1" applyFill="1" applyBorder="1" applyAlignment="1">
      <alignment horizontal="center" vertical="center" wrapText="1"/>
    </xf>
    <xf numFmtId="49" fontId="33" fillId="15" borderId="0" xfId="1" applyNumberFormat="1" applyFont="1" applyFill="1" applyAlignment="1">
      <alignment horizontal="center" vertical="center" wrapText="1"/>
    </xf>
    <xf numFmtId="49" fontId="33" fillId="15" borderId="34" xfId="1" applyNumberFormat="1" applyFont="1" applyFill="1" applyBorder="1" applyAlignment="1">
      <alignment horizontal="center" vertical="center" wrapText="1"/>
    </xf>
    <xf numFmtId="49" fontId="33" fillId="15" borderId="35" xfId="1" applyNumberFormat="1" applyFont="1" applyFill="1" applyBorder="1" applyAlignment="1">
      <alignment horizontal="center" vertical="center" wrapText="1"/>
    </xf>
    <xf numFmtId="49" fontId="21" fillId="8" borderId="11" xfId="1" applyNumberFormat="1" applyFont="1" applyFill="1" applyBorder="1" applyAlignment="1">
      <alignment horizontal="right" vertical="top"/>
    </xf>
    <xf numFmtId="49" fontId="21" fillId="8" borderId="2" xfId="1" applyNumberFormat="1" applyFont="1" applyFill="1" applyBorder="1" applyAlignment="1">
      <alignment horizontal="right" vertical="top"/>
    </xf>
    <xf numFmtId="49" fontId="21" fillId="8" borderId="7" xfId="1" applyNumberFormat="1" applyFont="1" applyFill="1" applyBorder="1" applyAlignment="1">
      <alignment horizontal="right" vertical="top"/>
    </xf>
    <xf numFmtId="49" fontId="21" fillId="8" borderId="70" xfId="1" applyNumberFormat="1" applyFont="1" applyFill="1" applyBorder="1" applyAlignment="1">
      <alignment horizontal="right" vertical="top"/>
    </xf>
    <xf numFmtId="49" fontId="8" fillId="13" borderId="50" xfId="1" applyNumberFormat="1" applyFont="1" applyFill="1" applyBorder="1" applyAlignment="1">
      <alignment horizontal="left" vertical="center"/>
    </xf>
    <xf numFmtId="49" fontId="8" fillId="13" borderId="7" xfId="1" applyNumberFormat="1" applyFont="1" applyFill="1" applyBorder="1" applyAlignment="1">
      <alignment horizontal="left" vertical="center"/>
    </xf>
    <xf numFmtId="49" fontId="8" fillId="13" borderId="8" xfId="1" applyNumberFormat="1" applyFont="1" applyFill="1" applyBorder="1" applyAlignment="1">
      <alignment horizontal="left" vertical="center"/>
    </xf>
    <xf numFmtId="49" fontId="8" fillId="13" borderId="34" xfId="1" applyNumberFormat="1" applyFont="1" applyFill="1" applyBorder="1" applyAlignment="1">
      <alignment horizontal="left" vertical="center"/>
    </xf>
    <xf numFmtId="49" fontId="8" fillId="13" borderId="35" xfId="1" applyNumberFormat="1" applyFont="1" applyFill="1" applyBorder="1" applyAlignment="1">
      <alignment horizontal="left" vertical="center"/>
    </xf>
    <xf numFmtId="49" fontId="8" fillId="13" borderId="36" xfId="1" applyNumberFormat="1" applyFont="1" applyFill="1" applyBorder="1" applyAlignment="1">
      <alignment horizontal="left" vertical="center"/>
    </xf>
    <xf numFmtId="0" fontId="26" fillId="9" borderId="1" xfId="1" applyFont="1" applyFill="1" applyBorder="1" applyAlignment="1">
      <alignment horizontal="center" vertical="center"/>
    </xf>
    <xf numFmtId="0" fontId="26" fillId="9" borderId="40" xfId="1" applyFont="1" applyFill="1" applyBorder="1" applyAlignment="1">
      <alignment horizontal="center" vertical="center"/>
    </xf>
    <xf numFmtId="49" fontId="8" fillId="13" borderId="11" xfId="1" applyNumberFormat="1" applyFont="1" applyFill="1" applyBorder="1" applyAlignment="1">
      <alignment horizontal="left" vertical="center"/>
    </xf>
    <xf numFmtId="0" fontId="9" fillId="11" borderId="2" xfId="1" applyFont="1" applyFill="1" applyBorder="1" applyAlignment="1">
      <alignment horizontal="left" vertical="center"/>
    </xf>
    <xf numFmtId="0" fontId="9" fillId="11" borderId="3" xfId="1" applyFont="1" applyFill="1" applyBorder="1" applyAlignment="1">
      <alignment horizontal="left" vertical="center"/>
    </xf>
    <xf numFmtId="49" fontId="21" fillId="8" borderId="11" xfId="1" applyNumberFormat="1" applyFont="1" applyFill="1" applyBorder="1" applyAlignment="1">
      <alignment horizontal="right" vertical="center" wrapText="1"/>
    </xf>
    <xf numFmtId="49" fontId="12" fillId="13" borderId="5" xfId="1" applyNumberFormat="1" applyFont="1" applyFill="1" applyBorder="1" applyAlignment="1">
      <alignment horizontal="left" vertical="center" wrapText="1"/>
    </xf>
    <xf numFmtId="49" fontId="12" fillId="13" borderId="2" xfId="1" applyNumberFormat="1" applyFont="1" applyFill="1" applyBorder="1" applyAlignment="1">
      <alignment horizontal="left" vertical="center" wrapText="1"/>
    </xf>
    <xf numFmtId="49" fontId="12" fillId="13" borderId="3" xfId="1" applyNumberFormat="1" applyFont="1" applyFill="1" applyBorder="1" applyAlignment="1">
      <alignment horizontal="left" vertical="center" wrapText="1"/>
    </xf>
    <xf numFmtId="0" fontId="8" fillId="11" borderId="44" xfId="1" applyFont="1" applyFill="1" applyBorder="1" applyAlignment="1">
      <alignment horizontal="left" vertical="center"/>
    </xf>
    <xf numFmtId="0" fontId="8" fillId="11" borderId="45" xfId="1" applyFont="1" applyFill="1" applyBorder="1" applyAlignment="1">
      <alignment horizontal="left" vertical="center"/>
    </xf>
    <xf numFmtId="0" fontId="8" fillId="11" borderId="46" xfId="1" applyFont="1" applyFill="1" applyBorder="1" applyAlignment="1">
      <alignment horizontal="left" vertical="center"/>
    </xf>
    <xf numFmtId="0" fontId="8" fillId="11" borderId="47" xfId="1" applyFont="1" applyFill="1" applyBorder="1" applyAlignment="1">
      <alignment horizontal="left" vertical="center"/>
    </xf>
    <xf numFmtId="0" fontId="8" fillId="11" borderId="48" xfId="1" applyFont="1" applyFill="1" applyBorder="1" applyAlignment="1">
      <alignment horizontal="left" vertical="center"/>
    </xf>
    <xf numFmtId="0" fontId="8" fillId="11" borderId="49" xfId="1" applyFont="1" applyFill="1" applyBorder="1" applyAlignment="1">
      <alignment horizontal="left" vertical="center"/>
    </xf>
    <xf numFmtId="49" fontId="3" fillId="0" borderId="5" xfId="1" applyNumberFormat="1" applyFont="1" applyBorder="1" applyAlignment="1">
      <alignment horizontal="left" vertical="top" wrapText="1"/>
    </xf>
    <xf numFmtId="49" fontId="24" fillId="23" borderId="15" xfId="1" applyNumberFormat="1" applyFont="1" applyFill="1" applyBorder="1" applyAlignment="1">
      <alignment horizontal="left"/>
    </xf>
    <xf numFmtId="49" fontId="24" fillId="23" borderId="16" xfId="1" applyNumberFormat="1" applyFont="1" applyFill="1" applyBorder="1" applyAlignment="1">
      <alignment horizontal="left"/>
    </xf>
    <xf numFmtId="49" fontId="24" fillId="23" borderId="17" xfId="1" applyNumberFormat="1" applyFont="1" applyFill="1" applyBorder="1" applyAlignment="1">
      <alignment horizontal="left"/>
    </xf>
  </cellXfs>
  <cellStyles count="4">
    <cellStyle name="Hyperlink" xfId="3" builtinId="8"/>
    <cellStyle name="Hyperlinkki 2" xfId="2" xr:uid="{D977190A-D084-462B-BF93-77ACE103A953}"/>
    <cellStyle name="Normaali 4" xfId="1" xr:uid="{06C1E316-2321-4340-BDF4-747367271F6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baseline="0">
                <a:solidFill>
                  <a:schemeClr val="accent1"/>
                </a:solidFill>
              </a:rPr>
              <a:t>Kulutus</a:t>
            </a:r>
            <a:r>
              <a:rPr lang="fi-FI" baseline="0"/>
              <a:t> </a:t>
            </a:r>
            <a:r>
              <a:rPr lang="fi-FI"/>
              <a:t>vs Tuotanto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EVISA_calculator_ENG!$C$116</c:f>
              <c:strCache>
                <c:ptCount val="1"/>
                <c:pt idx="0">
                  <c:v>Kuukausittainen sähkönkulutus, kWh/kk</c:v>
                </c:pt>
              </c:strCache>
            </c:strRef>
          </c:tx>
          <c:spPr>
            <a:solidFill>
              <a:schemeClr val="accent1"/>
            </a:solidFill>
            <a:ln>
              <a:noFill/>
            </a:ln>
            <a:effectLst/>
          </c:spPr>
          <c:invertIfNegative val="0"/>
          <c:val>
            <c:numRef>
              <c:f>EVISA_calculator_ENG!$C$117:$C$128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5A2-48EE-BA96-84CDD85086DC}"/>
            </c:ext>
          </c:extLst>
        </c:ser>
        <c:ser>
          <c:idx val="4"/>
          <c:order val="4"/>
          <c:tx>
            <c:strRef>
              <c:f>EVISA_calculator_ENG!$G$116</c:f>
              <c:strCache>
                <c:ptCount val="1"/>
                <c:pt idx="0">
                  <c:v> Aurinkosähköntuotanto, kWh/kk</c:v>
                </c:pt>
              </c:strCache>
            </c:strRef>
          </c:tx>
          <c:spPr>
            <a:solidFill>
              <a:schemeClr val="accent3">
                <a:lumMod val="60000"/>
              </a:schemeClr>
            </a:solidFill>
            <a:ln>
              <a:noFill/>
            </a:ln>
            <a:effectLst/>
          </c:spPr>
          <c:invertIfNegative val="0"/>
          <c:val>
            <c:numRef>
              <c:f>EVISA_calculator_ENG!$G$117:$G$128</c:f>
              <c:numCache>
                <c:formatCode>0.00</c:formatCode>
                <c:ptCount val="12"/>
              </c:numCache>
            </c:numRef>
          </c:val>
          <c:extLst>
            <c:ext xmlns:c16="http://schemas.microsoft.com/office/drawing/2014/chart" uri="{C3380CC4-5D6E-409C-BE32-E72D297353CC}">
              <c16:uniqueId val="{00000001-E5A2-48EE-BA96-84CDD85086DC}"/>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EVISA_calculator_ENG!$D$116</c15:sqref>
                        </c15:formulaRef>
                      </c:ext>
                    </c:extLst>
                    <c:strCache>
                      <c:ptCount val="1"/>
                      <c:pt idx="0">
                        <c:v>Auringonsäteily kWh/m2</c:v>
                      </c:pt>
                    </c:strCache>
                  </c:strRef>
                </c:tx>
                <c:spPr>
                  <a:solidFill>
                    <a:schemeClr val="accent3"/>
                  </a:solidFill>
                  <a:ln>
                    <a:noFill/>
                  </a:ln>
                  <a:effectLst/>
                </c:spPr>
                <c:invertIfNegative val="0"/>
                <c:val>
                  <c:numRef>
                    <c:extLst>
                      <c:ext uri="{02D57815-91ED-43cb-92C2-25804820EDAC}">
                        <c15:formulaRef>
                          <c15:sqref>EVISA_calculator_ENG!$D$117:$D$128</c15:sqref>
                        </c15:formulaRef>
                      </c:ext>
                    </c:extLst>
                    <c:numCache>
                      <c:formatCode>0.00</c:formatCode>
                      <c:ptCount val="12"/>
                    </c:numCache>
                  </c:numRef>
                </c:val>
                <c:extLst>
                  <c:ext xmlns:c16="http://schemas.microsoft.com/office/drawing/2014/chart" uri="{C3380CC4-5D6E-409C-BE32-E72D297353CC}">
                    <c16:uniqueId val="{00000002-E5A2-48EE-BA96-84CDD85086D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EVISA_calculator_ENG!$E$116</c15:sqref>
                        </c15:formulaRef>
                      </c:ext>
                    </c:extLst>
                    <c:strCache>
                      <c:ptCount val="1"/>
                      <c:pt idx="0">
                        <c:v> Sähkönhinta €/MWh</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EVISA_calculator_ENG!$E$117:$E$128</c15:sqref>
                        </c15:formulaRef>
                      </c:ext>
                    </c:extLst>
                    <c:numCache>
                      <c:formatCode>0.0</c:formatCode>
                      <c:ptCount val="12"/>
                      <c:pt idx="0">
                        <c:v>22.53</c:v>
                      </c:pt>
                      <c:pt idx="1">
                        <c:v>22.53</c:v>
                      </c:pt>
                      <c:pt idx="2">
                        <c:v>22.53</c:v>
                      </c:pt>
                      <c:pt idx="3">
                        <c:v>22.53</c:v>
                      </c:pt>
                      <c:pt idx="4">
                        <c:v>22.53</c:v>
                      </c:pt>
                      <c:pt idx="5">
                        <c:v>22.53</c:v>
                      </c:pt>
                      <c:pt idx="6">
                        <c:v>22.53</c:v>
                      </c:pt>
                      <c:pt idx="7">
                        <c:v>22.53</c:v>
                      </c:pt>
                      <c:pt idx="8">
                        <c:v>22.53</c:v>
                      </c:pt>
                      <c:pt idx="9">
                        <c:v>22.53</c:v>
                      </c:pt>
                      <c:pt idx="10">
                        <c:v>22.53</c:v>
                      </c:pt>
                      <c:pt idx="11">
                        <c:v>22.53</c:v>
                      </c:pt>
                    </c:numCache>
                  </c:numRef>
                </c:val>
                <c:extLst xmlns:c15="http://schemas.microsoft.com/office/drawing/2012/chart">
                  <c:ext xmlns:c16="http://schemas.microsoft.com/office/drawing/2014/chart" uri="{C3380CC4-5D6E-409C-BE32-E72D297353CC}">
                    <c16:uniqueId val="{00000003-E5A2-48EE-BA96-84CDD85086D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EVISA_calculator_ENG!$F$116</c15:sqref>
                        </c15:formulaRef>
                      </c:ext>
                    </c:extLst>
                    <c:strCache>
                      <c:ptCount val="1"/>
                      <c:pt idx="0">
                        <c:v>Ylijäämä aurinkosähkön myyntihinta €/MWh</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EVISA_calculator_ENG!$F$117:$F$128</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E5A2-48EE-BA96-84CDD85086D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EVISA_calculator_ENG!$H$116</c15:sqref>
                        </c15:formulaRef>
                      </c:ext>
                    </c:extLst>
                    <c:strCache>
                      <c:ptCount val="1"/>
                      <c:pt idx="0">
                        <c:v>Aurinkosähkö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EVISA_calculator_ENG!$H$117:$H$128</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5-E5A2-48EE-BA96-84CDD85086DC}"/>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EVISA_calculator_ENG!$I$116</c15:sqref>
                        </c15:formulaRef>
                      </c:ext>
                    </c:extLst>
                    <c:strCache>
                      <c:ptCount val="1"/>
                      <c:pt idx="0">
                        <c:v>Aurinkosähkö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EVISA_calculator_ENG!$I$117:$I$128</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E5A2-48EE-BA96-84CDD85086DC}"/>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EVISA_calculator_ENG!$J$116</c15:sqref>
                        </c15:formulaRef>
                      </c:ext>
                    </c:extLst>
                    <c:strCache>
                      <c:ptCount val="1"/>
                      <c:pt idx="0">
                        <c:v>Ostosähkön 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EVISA_calculator_ENG!$J$117:$J$128</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7-E5A2-48EE-BA96-84CDD85086DC}"/>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EVISA_calculator_ENG!$K$116</c15:sqref>
                        </c15:formulaRef>
                      </c:ext>
                    </c:extLst>
                    <c:strCache>
                      <c:ptCount val="1"/>
                      <c:pt idx="0">
                        <c:v>Omaan käyttöön tuotentun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EVISA_calculator_ENG!$K$117:$K$128</c15:sqref>
                        </c15:formulaRef>
                      </c:ext>
                    </c:extLst>
                    <c:numCache>
                      <c:formatCode>#,##0.00\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8-E5A2-48EE-BA96-84CDD85086DC}"/>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EVISA_calculator_ENG!$L$116</c15:sqref>
                        </c15:formulaRef>
                      </c:ext>
                    </c:extLst>
                    <c:strCache>
                      <c:ptCount val="1"/>
                      <c:pt idx="0">
                        <c:v>Sähkön myynnin tuotot,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EVISA_calculator_ENG!$L$117:$L$128</c15:sqref>
                        </c15:formulaRef>
                      </c:ext>
                    </c:extLst>
                    <c:numCache>
                      <c:formatCode>#,##0.00\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E5A2-48EE-BA96-84CDD85086DC}"/>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222250</xdr:colOff>
      <xdr:row>115</xdr:row>
      <xdr:rowOff>388258</xdr:rowOff>
    </xdr:from>
    <xdr:to>
      <xdr:col>17</xdr:col>
      <xdr:colOff>326570</xdr:colOff>
      <xdr:row>128</xdr:row>
      <xdr:rowOff>36286</xdr:rowOff>
    </xdr:to>
    <xdr:graphicFrame macro="">
      <xdr:nvGraphicFramePr>
        <xdr:cNvPr id="2" name="Kaavio 1">
          <a:extLst>
            <a:ext uri="{FF2B5EF4-FFF2-40B4-BE49-F238E27FC236}">
              <a16:creationId xmlns:a16="http://schemas.microsoft.com/office/drawing/2014/main" id="{AA1D7F1E-D369-47D9-8556-620EDBC283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2502776</xdr:colOff>
      <xdr:row>0</xdr:row>
      <xdr:rowOff>26276</xdr:rowOff>
    </xdr:from>
    <xdr:to>
      <xdr:col>6</xdr:col>
      <xdr:colOff>8853</xdr:colOff>
      <xdr:row>1</xdr:row>
      <xdr:rowOff>1148866</xdr:rowOff>
    </xdr:to>
    <xdr:pic>
      <xdr:nvPicPr>
        <xdr:cNvPr id="3" name="Picture 2">
          <a:extLst>
            <a:ext uri="{FF2B5EF4-FFF2-40B4-BE49-F238E27FC236}">
              <a16:creationId xmlns:a16="http://schemas.microsoft.com/office/drawing/2014/main" id="{01B44AFD-B9BF-4DBF-8E4B-7D5E8B26B1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95293" y="26276"/>
          <a:ext cx="4075043" cy="13590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o.fi/yritykset-ja-yhteisot/tietoa-yritysverotuksesta/valmisteverotus/sahko_ja_eraat_polttoaineet/sahkon_ja_eraiden_polttoaineiden_verot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2441-01E2-48BC-86C1-1703299C236A}">
  <sheetPr>
    <outlinePr summaryBelow="0" summaryRight="0"/>
  </sheetPr>
  <dimension ref="A1:AD1024"/>
  <sheetViews>
    <sheetView showGridLines="0" tabSelected="1" zoomScale="85" zoomScaleNormal="85" workbookViewId="0">
      <selection activeCell="F50" sqref="F50"/>
    </sheetView>
  </sheetViews>
  <sheetFormatPr defaultColWidth="14.54296875" defaultRowHeight="15" customHeight="1" x14ac:dyDescent="0.35"/>
  <cols>
    <col min="1" max="1" width="23.81640625" style="21" customWidth="1"/>
    <col min="2" max="2" width="24" style="21" customWidth="1"/>
    <col min="3" max="3" width="41" style="21" customWidth="1"/>
    <col min="4" max="4" width="24.453125" style="21" customWidth="1"/>
    <col min="5" max="5" width="18.453125" style="21" customWidth="1"/>
    <col min="6" max="6" width="14.7265625" style="21" customWidth="1"/>
    <col min="7" max="7" width="13.7265625" style="21" customWidth="1"/>
    <col min="8" max="8" width="64" style="21" customWidth="1"/>
    <col min="9" max="9" width="16.1796875" style="21" customWidth="1"/>
    <col min="10" max="10" width="13.7265625" style="21" customWidth="1"/>
    <col min="11" max="11" width="18.54296875" style="21" customWidth="1"/>
    <col min="12" max="12" width="21" style="21" customWidth="1"/>
    <col min="13" max="13" width="18.26953125" style="21" customWidth="1"/>
    <col min="14" max="14" width="21.453125" style="21" customWidth="1"/>
    <col min="15" max="15" width="15.81640625" style="21" customWidth="1"/>
    <col min="16" max="16" width="20" style="21" customWidth="1"/>
    <col min="17" max="17" width="17.81640625" style="21" customWidth="1"/>
    <col min="18" max="18" width="28" style="21" customWidth="1"/>
    <col min="19" max="16384" width="14.54296875" style="21"/>
  </cols>
  <sheetData>
    <row r="1" spans="1:26" ht="18.75" customHeight="1" x14ac:dyDescent="0.35">
      <c r="A1" s="347" t="s">
        <v>0</v>
      </c>
      <c r="B1" s="347"/>
      <c r="C1" s="219"/>
      <c r="D1" s="161"/>
      <c r="E1" s="162"/>
      <c r="F1" s="88"/>
      <c r="G1" s="88"/>
      <c r="H1" s="88"/>
      <c r="I1" s="88"/>
      <c r="J1" s="88"/>
      <c r="K1" s="88"/>
      <c r="L1" s="88"/>
      <c r="M1" s="1"/>
      <c r="N1" s="1"/>
      <c r="O1" s="1"/>
      <c r="P1" s="1"/>
      <c r="Q1" s="1"/>
      <c r="R1" s="1"/>
      <c r="S1" s="1"/>
      <c r="T1" s="1"/>
      <c r="U1" s="1"/>
      <c r="V1" s="1"/>
      <c r="W1" s="1"/>
      <c r="X1" s="1"/>
      <c r="Y1" s="1"/>
      <c r="Z1" s="1"/>
    </row>
    <row r="2" spans="1:26" ht="96" customHeight="1" thickBot="1" x14ac:dyDescent="0.4">
      <c r="A2" s="348"/>
      <c r="B2" s="348"/>
      <c r="C2" s="163"/>
      <c r="D2" s="88"/>
      <c r="E2" s="88"/>
      <c r="F2" s="88"/>
      <c r="G2" s="88"/>
      <c r="H2" s="88"/>
      <c r="I2" s="88"/>
      <c r="J2" s="88"/>
      <c r="K2" s="88"/>
      <c r="L2" s="88"/>
      <c r="M2" s="1"/>
      <c r="N2" s="1"/>
      <c r="O2" s="1"/>
      <c r="P2" s="1"/>
      <c r="Q2" s="1"/>
      <c r="R2" s="1"/>
      <c r="S2" s="1"/>
      <c r="T2" s="1"/>
      <c r="U2" s="1"/>
      <c r="V2" s="1"/>
      <c r="W2" s="1"/>
      <c r="X2" s="1"/>
      <c r="Y2" s="1"/>
      <c r="Z2" s="1"/>
    </row>
    <row r="3" spans="1:26" ht="15.75" customHeight="1" thickBot="1" x14ac:dyDescent="0.4">
      <c r="A3" s="220" t="s">
        <v>1</v>
      </c>
      <c r="B3" s="207"/>
      <c r="C3" s="208"/>
      <c r="D3" s="208"/>
      <c r="E3" s="208"/>
      <c r="F3" s="209"/>
      <c r="G3" s="1"/>
      <c r="H3" s="1"/>
      <c r="I3" s="1"/>
      <c r="J3" s="1"/>
      <c r="K3" s="1"/>
      <c r="L3" s="1"/>
      <c r="M3" s="1"/>
      <c r="N3" s="1"/>
      <c r="O3" s="1"/>
      <c r="P3" s="1"/>
      <c r="Q3" s="1"/>
      <c r="R3" s="1"/>
      <c r="S3" s="1"/>
      <c r="T3" s="1"/>
      <c r="U3" s="1"/>
      <c r="V3" s="1"/>
      <c r="W3" s="1"/>
      <c r="X3" s="1"/>
      <c r="Y3" s="1"/>
      <c r="Z3" s="1"/>
    </row>
    <row r="4" spans="1:26" ht="15.75" customHeight="1" x14ac:dyDescent="0.35">
      <c r="A4" s="210"/>
      <c r="B4" s="211"/>
      <c r="C4" s="195"/>
      <c r="D4" s="195"/>
      <c r="E4" s="195"/>
      <c r="F4" s="212"/>
      <c r="G4" s="1"/>
      <c r="H4" s="1"/>
      <c r="I4" s="1"/>
      <c r="J4" s="1"/>
      <c r="K4" s="1"/>
      <c r="L4" s="1"/>
      <c r="M4" s="1"/>
      <c r="N4" s="1"/>
      <c r="O4" s="1"/>
      <c r="P4" s="1"/>
      <c r="Q4" s="1"/>
      <c r="R4" s="1"/>
      <c r="S4" s="1"/>
      <c r="T4" s="1"/>
      <c r="U4" s="1"/>
      <c r="V4" s="1"/>
      <c r="W4" s="1"/>
      <c r="X4" s="1"/>
      <c r="Y4" s="1"/>
      <c r="Z4" s="1"/>
    </row>
    <row r="5" spans="1:26" ht="15.75" customHeight="1" x14ac:dyDescent="0.35">
      <c r="A5" s="210" t="s">
        <v>2</v>
      </c>
      <c r="B5" s="195"/>
      <c r="C5" s="195"/>
      <c r="D5" s="196"/>
      <c r="E5" s="221" t="s">
        <v>3</v>
      </c>
      <c r="F5" s="212"/>
      <c r="G5" s="1"/>
      <c r="H5" s="1"/>
      <c r="I5" s="1"/>
      <c r="J5" s="1"/>
      <c r="K5" s="1"/>
      <c r="L5" s="1"/>
      <c r="M5" s="1"/>
      <c r="N5" s="1"/>
      <c r="O5" s="1"/>
      <c r="P5" s="1"/>
      <c r="Q5" s="1"/>
      <c r="R5" s="1"/>
      <c r="S5" s="1"/>
      <c r="T5" s="1"/>
      <c r="U5" s="1"/>
      <c r="V5" s="1"/>
      <c r="W5" s="1"/>
      <c r="X5" s="1"/>
      <c r="Y5" s="1"/>
      <c r="Z5" s="1"/>
    </row>
    <row r="6" spans="1:26" ht="15.75" customHeight="1" x14ac:dyDescent="0.35">
      <c r="A6" s="236" t="s">
        <v>130</v>
      </c>
      <c r="B6" s="237"/>
      <c r="C6" s="237"/>
      <c r="D6" s="195"/>
      <c r="E6" s="226" t="s">
        <v>4</v>
      </c>
      <c r="F6" s="227"/>
      <c r="G6" s="1"/>
      <c r="H6" s="1"/>
      <c r="I6" s="1"/>
      <c r="J6" s="1"/>
      <c r="K6" s="1"/>
      <c r="L6" s="1"/>
      <c r="M6" s="1"/>
      <c r="N6" s="1"/>
      <c r="O6" s="1"/>
      <c r="P6" s="1"/>
      <c r="Q6" s="1"/>
      <c r="R6" s="1"/>
      <c r="S6" s="1"/>
      <c r="T6" s="1"/>
      <c r="U6" s="1"/>
      <c r="V6" s="1"/>
      <c r="W6" s="1"/>
      <c r="X6" s="1"/>
      <c r="Y6" s="1"/>
      <c r="Z6" s="1"/>
    </row>
    <row r="7" spans="1:26" ht="15.75" customHeight="1" thickBot="1" x14ac:dyDescent="0.4">
      <c r="A7" s="213"/>
      <c r="B7" s="214"/>
      <c r="C7" s="214"/>
      <c r="D7" s="195"/>
      <c r="E7" s="226"/>
      <c r="F7" s="227"/>
      <c r="G7" s="1"/>
      <c r="H7" s="1"/>
      <c r="I7" s="1"/>
      <c r="J7" s="1"/>
      <c r="K7" s="1"/>
      <c r="L7" s="1"/>
      <c r="M7" s="1"/>
      <c r="N7" s="1"/>
      <c r="O7" s="1"/>
      <c r="P7" s="1"/>
      <c r="Q7" s="1"/>
      <c r="R7" s="1"/>
      <c r="S7" s="1"/>
      <c r="T7" s="1"/>
      <c r="U7" s="1"/>
      <c r="V7" s="1"/>
      <c r="W7" s="1"/>
      <c r="X7" s="1"/>
      <c r="Y7" s="1"/>
      <c r="Z7" s="1"/>
    </row>
    <row r="8" spans="1:26" ht="15.75" customHeight="1" thickBot="1" x14ac:dyDescent="0.4">
      <c r="A8" s="182"/>
      <c r="B8" s="197" t="s">
        <v>131</v>
      </c>
      <c r="C8" s="215"/>
      <c r="D8" s="195"/>
      <c r="E8" s="226"/>
      <c r="F8" s="227"/>
      <c r="G8" s="1"/>
      <c r="H8" s="1"/>
      <c r="I8" s="1"/>
      <c r="J8" s="1"/>
      <c r="K8" s="1"/>
      <c r="L8" s="1"/>
      <c r="M8" s="1"/>
      <c r="N8" s="1"/>
      <c r="O8" s="1"/>
      <c r="P8" s="1"/>
      <c r="Q8" s="1"/>
      <c r="R8" s="1"/>
      <c r="S8" s="1"/>
      <c r="T8" s="1"/>
      <c r="U8" s="1"/>
      <c r="V8" s="1"/>
      <c r="W8" s="1"/>
      <c r="X8" s="1"/>
      <c r="Y8" s="1"/>
      <c r="Z8" s="1"/>
    </row>
    <row r="9" spans="1:26" ht="15.75" customHeight="1" thickBot="1" x14ac:dyDescent="0.4">
      <c r="A9" s="216"/>
      <c r="B9" s="215"/>
      <c r="C9" s="215"/>
      <c r="D9" s="195"/>
      <c r="E9" s="221" t="s">
        <v>5</v>
      </c>
      <c r="F9" s="212"/>
      <c r="G9" s="1"/>
      <c r="H9" s="1"/>
      <c r="I9" s="1"/>
      <c r="J9" s="1"/>
      <c r="K9" s="1"/>
      <c r="L9" s="1"/>
      <c r="M9" s="1"/>
      <c r="N9" s="1"/>
      <c r="O9" s="1"/>
      <c r="P9" s="1"/>
      <c r="Q9" s="1"/>
      <c r="R9" s="1"/>
      <c r="S9" s="1"/>
      <c r="T9" s="1"/>
      <c r="U9" s="1"/>
      <c r="V9" s="1"/>
      <c r="W9" s="1"/>
      <c r="X9" s="1"/>
      <c r="Y9" s="1"/>
      <c r="Z9" s="1"/>
    </row>
    <row r="10" spans="1:26" ht="15.75" customHeight="1" thickBot="1" x14ac:dyDescent="0.4">
      <c r="A10" s="164"/>
      <c r="B10" s="197" t="s">
        <v>132</v>
      </c>
      <c r="C10" s="215"/>
      <c r="D10" s="195"/>
      <c r="E10" s="226" t="s">
        <v>6</v>
      </c>
      <c r="F10" s="227"/>
      <c r="G10" s="1"/>
      <c r="H10" s="1"/>
      <c r="I10" s="1"/>
      <c r="J10" s="1"/>
      <c r="K10" s="1"/>
      <c r="L10" s="1"/>
      <c r="M10" s="1"/>
      <c r="N10" s="1"/>
      <c r="O10" s="1"/>
      <c r="P10" s="1"/>
      <c r="Q10" s="1"/>
      <c r="R10" s="1"/>
      <c r="S10" s="1"/>
      <c r="T10" s="1"/>
      <c r="U10" s="1"/>
      <c r="V10" s="1"/>
      <c r="W10" s="1"/>
      <c r="X10" s="1"/>
      <c r="Y10" s="1"/>
      <c r="Z10" s="1"/>
    </row>
    <row r="11" spans="1:26" ht="15.75" customHeight="1" thickBot="1" x14ac:dyDescent="0.4">
      <c r="A11" s="217"/>
      <c r="B11" s="238" t="s">
        <v>133</v>
      </c>
      <c r="C11" s="238"/>
      <c r="D11" s="218"/>
      <c r="E11" s="228"/>
      <c r="F11" s="229"/>
      <c r="G11" s="1"/>
      <c r="H11" s="1"/>
      <c r="I11" s="1"/>
      <c r="J11" s="1"/>
      <c r="K11" s="1"/>
      <c r="L11" s="1"/>
      <c r="M11" s="1"/>
      <c r="N11" s="1"/>
      <c r="O11" s="1"/>
      <c r="P11" s="1"/>
      <c r="Q11" s="1"/>
      <c r="R11" s="1"/>
      <c r="S11" s="1"/>
      <c r="T11" s="1"/>
      <c r="U11" s="1"/>
      <c r="V11" s="1"/>
      <c r="W11" s="1"/>
      <c r="X11" s="1"/>
      <c r="Y11" s="1"/>
      <c r="Z11" s="1"/>
    </row>
    <row r="12" spans="1:26" ht="16" thickBot="1" x14ac:dyDescent="0.4">
      <c r="A12" s="3"/>
      <c r="B12" s="3"/>
      <c r="C12" s="3"/>
      <c r="D12" s="3"/>
      <c r="E12" s="3"/>
      <c r="F12" s="3"/>
      <c r="G12" s="1"/>
      <c r="H12" s="1"/>
      <c r="I12" s="1"/>
      <c r="J12" s="1"/>
      <c r="K12" s="1"/>
      <c r="L12" s="1"/>
      <c r="M12" s="1"/>
      <c r="N12" s="1"/>
      <c r="O12" s="1"/>
      <c r="P12" s="1"/>
      <c r="Q12" s="1"/>
      <c r="R12" s="1"/>
      <c r="S12" s="1"/>
      <c r="T12" s="1"/>
      <c r="U12" s="1"/>
      <c r="V12" s="1"/>
      <c r="W12" s="1"/>
      <c r="X12" s="1"/>
      <c r="Y12" s="1"/>
      <c r="Z12" s="1"/>
    </row>
    <row r="13" spans="1:26" ht="19" thickBot="1" x14ac:dyDescent="0.5">
      <c r="A13" s="248" t="s">
        <v>7</v>
      </c>
      <c r="B13" s="249"/>
      <c r="C13" s="249"/>
      <c r="D13" s="249"/>
      <c r="E13" s="249"/>
      <c r="F13" s="250"/>
      <c r="G13" s="34"/>
      <c r="H13" s="34"/>
      <c r="I13" s="1"/>
      <c r="J13" s="1"/>
      <c r="K13" s="1"/>
      <c r="L13" s="1"/>
      <c r="M13" s="1"/>
      <c r="N13" s="1"/>
      <c r="O13" s="1"/>
      <c r="P13" s="1"/>
      <c r="Q13" s="1"/>
      <c r="R13" s="1"/>
      <c r="S13" s="1"/>
      <c r="T13" s="1"/>
      <c r="U13" s="1"/>
      <c r="V13" s="1"/>
      <c r="W13" s="1"/>
      <c r="X13" s="1"/>
      <c r="Y13" s="1"/>
      <c r="Z13" s="1"/>
    </row>
    <row r="14" spans="1:26" ht="15.75" customHeight="1" x14ac:dyDescent="0.35">
      <c r="A14" s="261" t="s">
        <v>8</v>
      </c>
      <c r="B14" s="262"/>
      <c r="C14" s="262"/>
      <c r="D14" s="262"/>
      <c r="E14" s="263"/>
      <c r="F14" s="180">
        <v>0</v>
      </c>
      <c r="G14" s="1"/>
      <c r="H14" s="223"/>
      <c r="I14" s="223"/>
      <c r="J14" s="223"/>
      <c r="K14" s="198"/>
      <c r="L14" s="198"/>
      <c r="M14" s="198"/>
      <c r="N14" s="198"/>
      <c r="O14" s="198"/>
      <c r="P14" s="198"/>
      <c r="Q14" s="198"/>
      <c r="R14" s="198"/>
      <c r="S14" s="1"/>
      <c r="T14" s="1"/>
      <c r="U14" s="1"/>
      <c r="V14" s="1"/>
      <c r="W14" s="1"/>
      <c r="X14" s="1"/>
      <c r="Y14" s="1"/>
      <c r="Z14" s="1"/>
    </row>
    <row r="15" spans="1:26" ht="15.75" customHeight="1" x14ac:dyDescent="0.35">
      <c r="A15" s="241" t="s">
        <v>9</v>
      </c>
      <c r="B15" s="242"/>
      <c r="C15" s="242"/>
      <c r="D15" s="242"/>
      <c r="E15" s="243"/>
      <c r="F15" s="181">
        <v>0</v>
      </c>
      <c r="G15" s="1"/>
      <c r="H15" s="223"/>
      <c r="I15" s="223"/>
      <c r="J15" s="223"/>
      <c r="K15" s="198"/>
      <c r="L15" s="198"/>
      <c r="M15" s="198"/>
      <c r="N15" s="198"/>
      <c r="O15" s="198"/>
      <c r="P15" s="198"/>
      <c r="Q15" s="198"/>
      <c r="R15" s="198"/>
      <c r="S15" s="1"/>
      <c r="T15" s="1"/>
      <c r="U15" s="1"/>
      <c r="V15" s="1"/>
      <c r="W15" s="1"/>
      <c r="X15" s="1"/>
      <c r="Y15" s="1"/>
      <c r="Z15" s="1"/>
    </row>
    <row r="16" spans="1:26" ht="15.75" customHeight="1" x14ac:dyDescent="0.35">
      <c r="A16" s="241" t="s">
        <v>10</v>
      </c>
      <c r="B16" s="242"/>
      <c r="C16" s="242"/>
      <c r="D16" s="242"/>
      <c r="E16" s="243"/>
      <c r="F16" s="30">
        <v>2.2530000000000001</v>
      </c>
      <c r="G16" s="1"/>
      <c r="H16" s="198" t="s">
        <v>11</v>
      </c>
      <c r="I16" s="199" t="s">
        <v>12</v>
      </c>
      <c r="J16" s="200"/>
      <c r="K16" s="198"/>
      <c r="L16" s="198"/>
      <c r="M16" s="198"/>
      <c r="N16" s="198"/>
      <c r="O16" s="198"/>
      <c r="P16" s="198"/>
      <c r="Q16" s="198"/>
      <c r="R16" s="198"/>
      <c r="S16" s="149"/>
      <c r="T16" s="1"/>
      <c r="U16" s="1"/>
      <c r="V16" s="1"/>
      <c r="W16" s="1"/>
      <c r="X16" s="1"/>
      <c r="Y16" s="1"/>
      <c r="Z16" s="1"/>
    </row>
    <row r="17" spans="1:26" ht="15.75" customHeight="1" x14ac:dyDescent="0.35">
      <c r="A17" s="241" t="s">
        <v>13</v>
      </c>
      <c r="B17" s="242"/>
      <c r="C17" s="242"/>
      <c r="D17" s="242"/>
      <c r="E17" s="243"/>
      <c r="F17" s="31">
        <v>0</v>
      </c>
      <c r="G17" s="1"/>
      <c r="H17" s="198" t="s">
        <v>128</v>
      </c>
      <c r="I17" s="198"/>
      <c r="J17" s="198"/>
      <c r="K17" s="198"/>
      <c r="L17" s="198"/>
      <c r="M17" s="198"/>
      <c r="N17" s="198"/>
      <c r="O17" s="198"/>
      <c r="P17" s="198"/>
      <c r="Q17" s="198"/>
      <c r="R17" s="198"/>
      <c r="S17" s="149"/>
      <c r="T17" s="1"/>
      <c r="U17" s="1"/>
      <c r="V17" s="1"/>
      <c r="W17" s="1"/>
      <c r="X17" s="1"/>
      <c r="Y17" s="1"/>
      <c r="Z17" s="1"/>
    </row>
    <row r="18" spans="1:26" ht="18.75" customHeight="1" x14ac:dyDescent="0.35">
      <c r="A18" s="251" t="s">
        <v>14</v>
      </c>
      <c r="B18" s="252"/>
      <c r="C18" s="252"/>
      <c r="D18" s="252"/>
      <c r="E18" s="252"/>
      <c r="F18" s="142">
        <f>(F14+F15+F16)*(1+F17)</f>
        <v>2.2530000000000001</v>
      </c>
      <c r="G18" s="1"/>
      <c r="H18" s="198"/>
      <c r="I18" s="198"/>
      <c r="J18" s="198"/>
      <c r="K18" s="198"/>
      <c r="L18" s="198"/>
      <c r="M18" s="198"/>
      <c r="N18" s="198"/>
      <c r="O18" s="198"/>
      <c r="P18" s="198"/>
      <c r="Q18" s="198"/>
      <c r="R18" s="198"/>
      <c r="S18" s="1"/>
      <c r="T18" s="1"/>
      <c r="U18" s="1"/>
      <c r="V18" s="1"/>
      <c r="W18" s="1"/>
      <c r="X18" s="1"/>
      <c r="Y18" s="1"/>
      <c r="Z18" s="1"/>
    </row>
    <row r="19" spans="1:26" ht="15.75" customHeight="1" x14ac:dyDescent="0.35">
      <c r="A19" s="253" t="s">
        <v>134</v>
      </c>
      <c r="B19" s="254"/>
      <c r="C19" s="254"/>
      <c r="D19" s="254"/>
      <c r="E19" s="255"/>
      <c r="F19" s="35">
        <v>0.12</v>
      </c>
      <c r="G19" s="1"/>
      <c r="H19" s="198" t="s">
        <v>137</v>
      </c>
      <c r="I19" s="199" t="s">
        <v>143</v>
      </c>
      <c r="J19" s="198"/>
      <c r="K19" s="198"/>
      <c r="L19" s="198"/>
      <c r="M19" s="198"/>
      <c r="N19" s="198"/>
      <c r="O19" s="198"/>
      <c r="P19" s="198"/>
      <c r="Q19" s="198"/>
      <c r="R19" s="198"/>
      <c r="S19" s="1"/>
      <c r="T19" s="1"/>
      <c r="U19" s="1"/>
      <c r="V19" s="1"/>
      <c r="W19" s="1"/>
      <c r="X19" s="1"/>
      <c r="Y19" s="1"/>
      <c r="Z19" s="1"/>
    </row>
    <row r="20" spans="1:26" ht="15.75" customHeight="1" x14ac:dyDescent="0.35">
      <c r="A20" s="356" t="s">
        <v>135</v>
      </c>
      <c r="B20" s="357"/>
      <c r="C20" s="357"/>
      <c r="D20" s="357"/>
      <c r="E20" s="358"/>
      <c r="F20" s="183">
        <v>0</v>
      </c>
      <c r="G20" s="1"/>
      <c r="H20" s="201"/>
      <c r="I20" s="198"/>
      <c r="J20" s="198"/>
      <c r="K20" s="198"/>
      <c r="L20" s="198"/>
      <c r="M20" s="198"/>
      <c r="N20" s="198"/>
      <c r="O20" s="198"/>
      <c r="P20" s="198"/>
      <c r="Q20" s="198"/>
      <c r="R20" s="198"/>
      <c r="S20" s="1"/>
      <c r="T20" s="1"/>
      <c r="U20" s="1"/>
      <c r="V20" s="1"/>
      <c r="W20" s="1"/>
      <c r="X20" s="1"/>
      <c r="Y20" s="1"/>
      <c r="Z20" s="1"/>
    </row>
    <row r="21" spans="1:26" ht="15.75" customHeight="1" x14ac:dyDescent="0.35">
      <c r="A21" s="359" t="s">
        <v>15</v>
      </c>
      <c r="B21" s="360"/>
      <c r="C21" s="360"/>
      <c r="D21" s="360"/>
      <c r="E21" s="361"/>
      <c r="F21" s="184">
        <v>0</v>
      </c>
      <c r="G21" s="1"/>
      <c r="H21" s="198"/>
      <c r="I21" s="199"/>
      <c r="J21" s="198"/>
      <c r="K21" s="198"/>
      <c r="L21" s="198"/>
      <c r="M21" s="198"/>
      <c r="N21" s="198"/>
      <c r="O21" s="198"/>
      <c r="P21" s="198"/>
      <c r="Q21" s="198"/>
      <c r="R21" s="198"/>
      <c r="S21" s="1"/>
      <c r="T21" s="1"/>
      <c r="U21" s="1"/>
      <c r="V21" s="1"/>
      <c r="W21" s="1"/>
      <c r="X21" s="1"/>
      <c r="Y21" s="1"/>
      <c r="Z21" s="1"/>
    </row>
    <row r="22" spans="1:26" ht="21.75" customHeight="1" thickBot="1" x14ac:dyDescent="0.4">
      <c r="A22" s="256" t="s">
        <v>16</v>
      </c>
      <c r="B22" s="257"/>
      <c r="C22" s="257"/>
      <c r="D22" s="257"/>
      <c r="E22" s="258"/>
      <c r="F22" s="140">
        <f>F20*F21%</f>
        <v>0</v>
      </c>
      <c r="G22" s="3"/>
      <c r="H22" s="200"/>
      <c r="I22" s="198"/>
      <c r="J22" s="198"/>
      <c r="K22" s="198"/>
      <c r="L22" s="198"/>
      <c r="M22" s="198"/>
      <c r="N22" s="198"/>
      <c r="O22" s="247"/>
      <c r="P22" s="247"/>
      <c r="Q22" s="202"/>
      <c r="R22" s="198"/>
      <c r="S22" s="1"/>
      <c r="T22" s="1"/>
      <c r="U22" s="1"/>
      <c r="V22" s="1"/>
      <c r="W22" s="1"/>
      <c r="X22" s="1"/>
      <c r="Y22" s="1"/>
      <c r="Z22" s="1"/>
    </row>
    <row r="23" spans="1:26" ht="21.75" customHeight="1" thickBot="1" x14ac:dyDescent="0.4">
      <c r="A23" s="165"/>
      <c r="B23" s="166"/>
      <c r="C23" s="166"/>
      <c r="D23" s="166"/>
      <c r="E23" s="166"/>
      <c r="F23" s="167"/>
      <c r="G23" s="93"/>
      <c r="H23" s="200"/>
      <c r="I23" s="198"/>
      <c r="J23" s="198"/>
      <c r="K23" s="198"/>
      <c r="L23" s="198"/>
      <c r="M23" s="198"/>
      <c r="N23" s="198"/>
      <c r="O23" s="203"/>
      <c r="P23" s="203"/>
      <c r="Q23" s="202"/>
      <c r="R23" s="198"/>
      <c r="S23" s="1"/>
      <c r="T23" s="1"/>
      <c r="U23" s="1"/>
      <c r="V23" s="1"/>
      <c r="W23" s="1"/>
      <c r="X23" s="1"/>
      <c r="Y23" s="1"/>
      <c r="Z23" s="1"/>
    </row>
    <row r="24" spans="1:26" ht="19.5" customHeight="1" thickBot="1" x14ac:dyDescent="0.4">
      <c r="A24" s="244" t="s">
        <v>17</v>
      </c>
      <c r="B24" s="245"/>
      <c r="C24" s="245"/>
      <c r="D24" s="245"/>
      <c r="E24" s="245"/>
      <c r="F24" s="246"/>
      <c r="G24" s="3"/>
      <c r="H24" s="198"/>
      <c r="I24" s="198"/>
      <c r="J24" s="198"/>
      <c r="K24" s="247"/>
      <c r="L24" s="247"/>
      <c r="M24" s="247"/>
      <c r="N24" s="202"/>
      <c r="O24" s="280"/>
      <c r="P24" s="280"/>
      <c r="Q24" s="204"/>
      <c r="R24" s="198"/>
      <c r="S24" s="1"/>
      <c r="T24" s="1"/>
      <c r="U24" s="1"/>
      <c r="V24" s="1"/>
      <c r="W24" s="1"/>
      <c r="X24" s="1"/>
      <c r="Y24" s="1"/>
      <c r="Z24" s="1"/>
    </row>
    <row r="25" spans="1:26" ht="15.5" x14ac:dyDescent="0.35">
      <c r="A25" s="259" t="s">
        <v>18</v>
      </c>
      <c r="B25" s="260"/>
      <c r="C25" s="260"/>
      <c r="D25" s="260"/>
      <c r="E25" s="260"/>
      <c r="F25" s="141">
        <f>(F26*250)/(1.7*1000)</f>
        <v>0</v>
      </c>
      <c r="G25" s="93"/>
      <c r="H25" s="200"/>
      <c r="I25" s="198"/>
      <c r="J25" s="198"/>
      <c r="K25" s="198"/>
      <c r="L25" s="198"/>
      <c r="M25" s="198"/>
      <c r="N25" s="200"/>
      <c r="O25" s="198"/>
      <c r="P25" s="198"/>
      <c r="Q25" s="198"/>
      <c r="R25" s="198"/>
      <c r="S25" s="1"/>
      <c r="T25" s="1"/>
      <c r="U25" s="1"/>
      <c r="V25" s="1"/>
      <c r="W25" s="1"/>
      <c r="X25" s="1"/>
      <c r="Y25" s="1"/>
      <c r="Z25" s="1"/>
    </row>
    <row r="26" spans="1:26" ht="15.65" customHeight="1" x14ac:dyDescent="0.35">
      <c r="A26" s="341" t="s">
        <v>19</v>
      </c>
      <c r="B26" s="342"/>
      <c r="C26" s="342"/>
      <c r="D26" s="342"/>
      <c r="E26" s="343"/>
      <c r="F26" s="322">
        <v>0</v>
      </c>
      <c r="G26" s="307"/>
      <c r="H26" s="233" t="s">
        <v>20</v>
      </c>
      <c r="I26" s="233"/>
      <c r="J26" s="233"/>
      <c r="K26" s="233"/>
      <c r="L26" s="233"/>
      <c r="M26" s="233"/>
      <c r="N26" s="233"/>
      <c r="O26" s="233"/>
      <c r="P26" s="200"/>
      <c r="Q26" s="198"/>
      <c r="R26" s="198"/>
      <c r="S26" s="1"/>
      <c r="T26" s="1"/>
      <c r="U26" s="1"/>
      <c r="V26" s="1"/>
      <c r="W26" s="1"/>
      <c r="X26" s="1"/>
      <c r="Y26" s="1"/>
      <c r="Z26" s="1"/>
    </row>
    <row r="27" spans="1:26" ht="15.5" x14ac:dyDescent="0.35">
      <c r="A27" s="344"/>
      <c r="B27" s="345"/>
      <c r="C27" s="345"/>
      <c r="D27" s="345"/>
      <c r="E27" s="346"/>
      <c r="F27" s="323"/>
      <c r="G27" s="307"/>
      <c r="H27" s="233"/>
      <c r="I27" s="233"/>
      <c r="J27" s="233"/>
      <c r="K27" s="233"/>
      <c r="L27" s="233"/>
      <c r="M27" s="233"/>
      <c r="N27" s="233"/>
      <c r="O27" s="233"/>
      <c r="P27" s="198"/>
      <c r="Q27" s="198"/>
      <c r="R27" s="198"/>
      <c r="S27" s="1"/>
      <c r="T27" s="1"/>
      <c r="U27" s="1"/>
      <c r="V27" s="1"/>
      <c r="W27" s="1"/>
      <c r="X27" s="1"/>
      <c r="Y27" s="1"/>
      <c r="Z27" s="1"/>
    </row>
    <row r="28" spans="1:26" ht="15.5" x14ac:dyDescent="0.35">
      <c r="A28" s="272" t="s">
        <v>21</v>
      </c>
      <c r="B28" s="242"/>
      <c r="C28" s="242"/>
      <c r="D28" s="242"/>
      <c r="E28" s="243"/>
      <c r="F28" s="185">
        <v>0</v>
      </c>
      <c r="G28" s="88"/>
      <c r="H28" s="234" t="s">
        <v>138</v>
      </c>
      <c r="I28" s="234"/>
      <c r="J28" s="234"/>
      <c r="K28" s="234"/>
      <c r="L28" s="234"/>
      <c r="M28" s="234"/>
      <c r="N28" s="234"/>
      <c r="O28" s="234"/>
      <c r="P28" s="199"/>
      <c r="Q28" s="198"/>
      <c r="R28" s="198"/>
      <c r="S28" s="1"/>
      <c r="T28" s="1"/>
      <c r="U28" s="1"/>
      <c r="V28" s="1"/>
      <c r="W28" s="1"/>
      <c r="X28" s="1"/>
      <c r="Y28" s="1"/>
      <c r="Z28" s="1"/>
    </row>
    <row r="29" spans="1:26" ht="15.75" customHeight="1" x14ac:dyDescent="0.35">
      <c r="A29" s="352" t="s">
        <v>22</v>
      </c>
      <c r="B29" s="252"/>
      <c r="C29" s="252"/>
      <c r="D29" s="252"/>
      <c r="E29" s="252"/>
      <c r="F29" s="186">
        <f>(F25)*F28</f>
        <v>0</v>
      </c>
      <c r="G29" s="1"/>
      <c r="H29" s="235" t="s">
        <v>129</v>
      </c>
      <c r="I29" s="235"/>
      <c r="J29" s="235"/>
      <c r="K29" s="235"/>
      <c r="L29" s="235"/>
      <c r="M29" s="235"/>
      <c r="N29" s="235"/>
      <c r="O29" s="235"/>
      <c r="P29" s="198"/>
      <c r="Q29" s="198"/>
      <c r="R29" s="198"/>
      <c r="S29" s="1"/>
      <c r="T29" s="1"/>
      <c r="U29" s="1"/>
      <c r="V29" s="1"/>
      <c r="W29" s="1"/>
      <c r="X29" s="1"/>
      <c r="Y29" s="1"/>
      <c r="Z29" s="1"/>
    </row>
    <row r="30" spans="1:26" ht="54.75" customHeight="1" x14ac:dyDescent="0.35">
      <c r="A30" s="230" t="s">
        <v>136</v>
      </c>
      <c r="B30" s="231"/>
      <c r="C30" s="231"/>
      <c r="D30" s="231"/>
      <c r="E30" s="231"/>
      <c r="F30" s="232"/>
      <c r="G30" s="1"/>
      <c r="I30" s="1"/>
      <c r="M30" s="1"/>
      <c r="N30" s="92"/>
      <c r="O30" s="88"/>
      <c r="P30" s="88"/>
      <c r="Q30" s="1"/>
      <c r="R30" s="1"/>
      <c r="S30" s="1"/>
      <c r="T30" s="1"/>
      <c r="U30" s="1"/>
      <c r="V30" s="1"/>
      <c r="W30" s="1"/>
      <c r="X30" s="1"/>
      <c r="Y30" s="1"/>
      <c r="Z30" s="1"/>
    </row>
    <row r="31" spans="1:26" ht="15.75" customHeight="1" thickBot="1" x14ac:dyDescent="0.4">
      <c r="A31" s="337" t="s">
        <v>23</v>
      </c>
      <c r="B31" s="338"/>
      <c r="C31" s="339"/>
      <c r="D31" s="339"/>
      <c r="E31" s="340"/>
      <c r="F31" s="169" t="e">
        <f>E94</f>
        <v>#DIV/0!</v>
      </c>
      <c r="G31" s="88"/>
      <c r="H31" s="94"/>
      <c r="I31" s="1"/>
      <c r="M31" s="1"/>
      <c r="N31" s="92"/>
      <c r="O31" s="88"/>
      <c r="P31" s="88"/>
      <c r="Q31" s="1"/>
      <c r="R31" s="1"/>
      <c r="S31" s="1"/>
      <c r="T31" s="1"/>
      <c r="U31" s="1"/>
      <c r="V31" s="1"/>
      <c r="W31" s="1"/>
      <c r="X31" s="1"/>
      <c r="Y31" s="1"/>
      <c r="Z31" s="1"/>
    </row>
    <row r="32" spans="1:26" ht="15.75" customHeight="1" x14ac:dyDescent="0.35">
      <c r="A32" s="331" t="s">
        <v>24</v>
      </c>
      <c r="B32" s="332"/>
      <c r="C32" s="96" t="s">
        <v>25</v>
      </c>
      <c r="D32" s="97"/>
      <c r="E32" s="98"/>
      <c r="F32" s="99"/>
      <c r="G32" s="100"/>
      <c r="H32" s="112"/>
      <c r="I32" s="101"/>
      <c r="J32" s="113"/>
      <c r="K32" s="239"/>
      <c r="L32" s="240"/>
      <c r="M32" s="222" t="s">
        <v>26</v>
      </c>
      <c r="N32" s="222"/>
      <c r="O32" s="222"/>
      <c r="P32" s="88"/>
      <c r="Q32" s="1"/>
      <c r="R32" s="1"/>
      <c r="S32" s="1"/>
      <c r="T32" s="1"/>
      <c r="U32" s="1"/>
      <c r="V32" s="1"/>
      <c r="W32" s="1"/>
      <c r="X32" s="1"/>
      <c r="Y32" s="1"/>
      <c r="Z32" s="1"/>
    </row>
    <row r="33" spans="1:27" ht="15.75" customHeight="1" x14ac:dyDescent="0.35">
      <c r="A33" s="333"/>
      <c r="B33" s="334"/>
      <c r="C33" s="96" t="s">
        <v>27</v>
      </c>
      <c r="D33" s="102"/>
      <c r="E33" s="103"/>
      <c r="F33" s="104"/>
      <c r="G33" s="105"/>
      <c r="H33" s="114"/>
      <c r="I33" s="106"/>
      <c r="J33" s="115"/>
      <c r="K33" s="239"/>
      <c r="L33" s="240"/>
      <c r="M33" s="222"/>
      <c r="N33" s="222"/>
      <c r="O33" s="222"/>
      <c r="P33" s="88"/>
      <c r="Q33" s="1"/>
      <c r="R33" s="1"/>
      <c r="S33" s="1"/>
      <c r="T33" s="1"/>
      <c r="U33" s="1"/>
      <c r="V33" s="1"/>
      <c r="W33" s="1"/>
      <c r="X33" s="1"/>
      <c r="Y33" s="1"/>
      <c r="Z33" s="1"/>
    </row>
    <row r="34" spans="1:27" ht="15.75" customHeight="1" thickBot="1" x14ac:dyDescent="0.4">
      <c r="A34" s="335"/>
      <c r="B34" s="336"/>
      <c r="C34" s="96" t="s">
        <v>28</v>
      </c>
      <c r="D34" s="107"/>
      <c r="E34" s="108"/>
      <c r="F34" s="109"/>
      <c r="G34" s="110"/>
      <c r="H34" s="116"/>
      <c r="I34" s="111"/>
      <c r="J34" s="117"/>
      <c r="K34" s="239"/>
      <c r="L34" s="240"/>
      <c r="M34" s="222"/>
      <c r="N34" s="222"/>
      <c r="O34" s="222"/>
      <c r="P34" s="88"/>
      <c r="Q34" s="1"/>
      <c r="R34" s="1"/>
      <c r="S34" s="1"/>
      <c r="T34" s="1"/>
      <c r="U34" s="1"/>
      <c r="V34" s="1"/>
      <c r="W34" s="1"/>
      <c r="X34" s="1"/>
      <c r="Y34" s="1"/>
      <c r="Z34" s="1"/>
    </row>
    <row r="35" spans="1:27" ht="15.5" x14ac:dyDescent="0.35">
      <c r="A35" s="272" t="s">
        <v>29</v>
      </c>
      <c r="B35" s="242"/>
      <c r="C35" s="262"/>
      <c r="D35" s="262"/>
      <c r="E35" s="263"/>
      <c r="F35" s="168">
        <v>-5.0000000000000001E-3</v>
      </c>
      <c r="G35" s="1"/>
      <c r="H35" s="149"/>
      <c r="I35" s="149"/>
      <c r="J35" s="149"/>
      <c r="K35" s="149"/>
      <c r="L35" s="149"/>
      <c r="M35" s="198"/>
      <c r="N35" s="198"/>
      <c r="O35" s="198"/>
      <c r="P35" s="149"/>
      <c r="Q35" s="149"/>
      <c r="R35" s="149"/>
      <c r="S35" s="149"/>
      <c r="T35" s="149"/>
      <c r="U35" s="149"/>
      <c r="V35" s="149"/>
      <c r="W35" s="149"/>
      <c r="X35" s="149"/>
      <c r="Y35" s="149"/>
      <c r="Z35" s="149"/>
      <c r="AA35" s="150"/>
    </row>
    <row r="36" spans="1:27" ht="15.65" customHeight="1" x14ac:dyDescent="0.35">
      <c r="A36" s="324" t="s">
        <v>30</v>
      </c>
      <c r="B36" s="325"/>
      <c r="C36" s="325"/>
      <c r="D36" s="325"/>
      <c r="E36" s="325"/>
      <c r="F36" s="328" t="e">
        <f>(F29-F22)/F29*100%</f>
        <v>#DIV/0!</v>
      </c>
      <c r="G36" s="330"/>
      <c r="H36" s="223" t="s">
        <v>139</v>
      </c>
      <c r="I36" s="223"/>
      <c r="J36" s="223"/>
      <c r="K36" s="223"/>
      <c r="L36" s="223"/>
      <c r="M36" s="223"/>
      <c r="N36" s="223"/>
      <c r="O36" s="223"/>
      <c r="P36" s="95"/>
      <c r="Q36" s="5"/>
      <c r="R36" s="5"/>
      <c r="S36" s="5"/>
      <c r="T36" s="5"/>
      <c r="U36" s="5"/>
      <c r="V36" s="5"/>
      <c r="W36" s="5"/>
      <c r="X36" s="5"/>
      <c r="Y36" s="5"/>
      <c r="Z36" s="5"/>
    </row>
    <row r="37" spans="1:27" ht="15.5" x14ac:dyDescent="0.35">
      <c r="A37" s="326"/>
      <c r="B37" s="327"/>
      <c r="C37" s="327"/>
      <c r="D37" s="327"/>
      <c r="E37" s="327"/>
      <c r="F37" s="329"/>
      <c r="G37" s="330"/>
      <c r="H37" s="223"/>
      <c r="I37" s="223"/>
      <c r="J37" s="223"/>
      <c r="K37" s="223"/>
      <c r="L37" s="223"/>
      <c r="M37" s="223"/>
      <c r="N37" s="223"/>
      <c r="O37" s="223"/>
      <c r="P37" s="95"/>
      <c r="Q37" s="5"/>
      <c r="R37" s="5"/>
      <c r="S37" s="5"/>
      <c r="T37" s="5"/>
      <c r="U37" s="5"/>
      <c r="V37" s="5"/>
      <c r="W37" s="5"/>
      <c r="X37" s="5"/>
      <c r="Y37" s="5"/>
      <c r="Z37" s="5"/>
    </row>
    <row r="38" spans="1:27" ht="15.75" customHeight="1" x14ac:dyDescent="0.35">
      <c r="A38" s="303" t="s">
        <v>31</v>
      </c>
      <c r="B38" s="274"/>
      <c r="C38" s="274"/>
      <c r="D38" s="274"/>
      <c r="E38" s="275"/>
      <c r="F38" s="160">
        <v>2</v>
      </c>
      <c r="G38" s="1"/>
      <c r="H38" s="224" t="s">
        <v>140</v>
      </c>
      <c r="I38" s="224"/>
      <c r="J38" s="224"/>
      <c r="K38" s="224"/>
      <c r="L38" s="224"/>
      <c r="M38" s="224"/>
      <c r="N38" s="224"/>
      <c r="O38" s="224"/>
      <c r="P38" s="93"/>
      <c r="Q38" s="1"/>
      <c r="R38" s="1"/>
      <c r="S38" s="1"/>
      <c r="T38" s="1"/>
      <c r="U38" s="1"/>
      <c r="V38" s="1"/>
      <c r="W38" s="1"/>
      <c r="X38" s="1"/>
      <c r="Y38" s="1"/>
      <c r="Z38" s="1"/>
    </row>
    <row r="39" spans="1:27" ht="16" thickBot="1" x14ac:dyDescent="0.4">
      <c r="A39" s="6"/>
      <c r="B39" s="6"/>
      <c r="C39" s="6"/>
      <c r="D39" s="6"/>
      <c r="E39" s="6"/>
      <c r="F39" s="7"/>
      <c r="G39" s="5"/>
      <c r="H39" s="205"/>
      <c r="I39" s="205"/>
      <c r="J39" s="205"/>
      <c r="K39" s="205"/>
      <c r="L39" s="205"/>
      <c r="M39" s="205"/>
      <c r="N39" s="205"/>
      <c r="O39" s="205"/>
      <c r="P39" s="5"/>
      <c r="Q39" s="5"/>
      <c r="R39" s="5"/>
      <c r="S39" s="5"/>
      <c r="T39" s="5"/>
      <c r="U39" s="5"/>
      <c r="V39" s="5"/>
      <c r="W39" s="5"/>
      <c r="X39" s="5"/>
      <c r="Y39" s="5"/>
      <c r="Z39" s="5"/>
    </row>
    <row r="40" spans="1:27" ht="18.5" thickBot="1" x14ac:dyDescent="0.45">
      <c r="A40" s="363" t="s">
        <v>32</v>
      </c>
      <c r="B40" s="364"/>
      <c r="C40" s="364"/>
      <c r="D40" s="364"/>
      <c r="E40" s="364"/>
      <c r="F40" s="365"/>
      <c r="G40" s="5"/>
      <c r="H40" s="205"/>
      <c r="I40" s="205"/>
      <c r="J40" s="205"/>
      <c r="K40" s="205"/>
      <c r="L40" s="205"/>
      <c r="M40" s="205"/>
      <c r="N40" s="205"/>
      <c r="O40" s="205"/>
      <c r="P40" s="5"/>
      <c r="Q40" s="5"/>
      <c r="R40" s="5"/>
      <c r="S40" s="5"/>
      <c r="T40" s="5"/>
      <c r="U40" s="5"/>
      <c r="V40" s="5"/>
      <c r="W40" s="5"/>
      <c r="X40" s="5"/>
      <c r="Y40" s="5"/>
      <c r="Z40" s="5"/>
    </row>
    <row r="41" spans="1:27" ht="15.5" x14ac:dyDescent="0.35">
      <c r="A41" s="259" t="s">
        <v>33</v>
      </c>
      <c r="B41" s="260"/>
      <c r="C41" s="260"/>
      <c r="D41" s="260"/>
      <c r="E41" s="260"/>
      <c r="F41" s="143">
        <f>F42*F25</f>
        <v>0</v>
      </c>
      <c r="G41" s="1"/>
      <c r="H41" s="198" t="s">
        <v>34</v>
      </c>
      <c r="I41" s="198"/>
      <c r="J41" s="198"/>
      <c r="K41" s="198"/>
      <c r="L41" s="198"/>
      <c r="M41" s="198"/>
      <c r="N41" s="198"/>
      <c r="O41" s="198"/>
      <c r="P41" s="1"/>
      <c r="Q41" s="1"/>
      <c r="R41" s="1"/>
      <c r="S41" s="1"/>
      <c r="T41" s="1"/>
      <c r="U41" s="1"/>
      <c r="V41" s="1"/>
      <c r="W41" s="1"/>
      <c r="X41" s="1"/>
      <c r="Y41" s="1"/>
      <c r="Z41" s="1"/>
    </row>
    <row r="42" spans="1:27" ht="15.5" x14ac:dyDescent="0.35">
      <c r="A42" s="349" t="s">
        <v>35</v>
      </c>
      <c r="B42" s="350"/>
      <c r="C42" s="350"/>
      <c r="D42" s="350"/>
      <c r="E42" s="351"/>
      <c r="F42" s="151">
        <v>1100</v>
      </c>
      <c r="G42" s="4"/>
      <c r="H42" s="200" t="s">
        <v>36</v>
      </c>
      <c r="I42" s="206" t="s">
        <v>37</v>
      </c>
      <c r="J42" s="198" t="s">
        <v>38</v>
      </c>
      <c r="K42" s="198"/>
      <c r="L42" s="198"/>
      <c r="M42" s="198"/>
      <c r="N42" s="198"/>
      <c r="O42" s="198"/>
      <c r="P42" s="1"/>
      <c r="Q42" s="1"/>
      <c r="R42" s="1"/>
      <c r="S42" s="1"/>
      <c r="T42" s="1"/>
      <c r="U42" s="1"/>
      <c r="V42" s="1"/>
      <c r="W42" s="1"/>
      <c r="X42" s="1"/>
      <c r="Y42" s="1"/>
      <c r="Z42" s="1"/>
    </row>
    <row r="43" spans="1:27" ht="15.5" x14ac:dyDescent="0.35">
      <c r="A43" s="362" t="s">
        <v>39</v>
      </c>
      <c r="B43" s="242"/>
      <c r="C43" s="242"/>
      <c r="D43" s="242"/>
      <c r="E43" s="243"/>
      <c r="F43" s="31">
        <v>0</v>
      </c>
      <c r="G43" s="1"/>
      <c r="H43" s="198"/>
      <c r="I43" s="198"/>
      <c r="J43" s="198"/>
      <c r="K43" s="198"/>
      <c r="L43" s="198"/>
      <c r="M43" s="198"/>
      <c r="N43" s="198"/>
      <c r="O43" s="198"/>
      <c r="P43" s="1"/>
      <c r="Q43" s="1"/>
      <c r="R43" s="1"/>
      <c r="S43" s="1"/>
      <c r="T43" s="1"/>
      <c r="U43" s="1"/>
      <c r="V43" s="1"/>
      <c r="W43" s="1"/>
      <c r="X43" s="1"/>
      <c r="Y43" s="1"/>
      <c r="Z43" s="1"/>
    </row>
    <row r="44" spans="1:27" ht="15.75" customHeight="1" x14ac:dyDescent="0.35">
      <c r="A44" s="303" t="s">
        <v>40</v>
      </c>
      <c r="B44" s="274"/>
      <c r="C44" s="274"/>
      <c r="D44" s="274"/>
      <c r="E44" s="275"/>
      <c r="F44" s="33">
        <v>0</v>
      </c>
      <c r="G44" s="1"/>
      <c r="H44" s="198"/>
      <c r="I44" s="198"/>
      <c r="J44" s="198"/>
      <c r="K44" s="198"/>
      <c r="L44" s="198"/>
      <c r="M44" s="198"/>
      <c r="N44" s="198"/>
      <c r="O44" s="198"/>
      <c r="P44" s="1"/>
      <c r="Q44" s="1"/>
      <c r="R44" s="1"/>
      <c r="S44" s="1"/>
      <c r="T44" s="1"/>
      <c r="U44" s="1"/>
      <c r="V44" s="1"/>
      <c r="W44" s="1"/>
      <c r="X44" s="1"/>
      <c r="Y44" s="1"/>
      <c r="Z44" s="1"/>
    </row>
    <row r="45" spans="1:27" ht="18.75" customHeight="1" x14ac:dyDescent="0.35">
      <c r="A45" s="251" t="s">
        <v>41</v>
      </c>
      <c r="B45" s="252"/>
      <c r="C45" s="252"/>
      <c r="D45" s="252"/>
      <c r="E45" s="252"/>
      <c r="F45" s="144">
        <f>F41-(F41*F43)-F44</f>
        <v>0</v>
      </c>
      <c r="G45" s="4"/>
      <c r="H45" s="198"/>
      <c r="I45" s="198"/>
      <c r="J45" s="198"/>
      <c r="K45" s="198"/>
      <c r="L45" s="198"/>
      <c r="M45" s="198"/>
      <c r="N45" s="198"/>
      <c r="O45" s="198"/>
      <c r="P45" s="1"/>
      <c r="Q45" s="1"/>
      <c r="R45" s="1"/>
      <c r="S45" s="1"/>
      <c r="T45" s="1"/>
      <c r="U45" s="1"/>
      <c r="V45" s="1"/>
      <c r="W45" s="1"/>
      <c r="X45" s="1"/>
      <c r="Y45" s="1"/>
      <c r="Z45" s="1"/>
    </row>
    <row r="46" spans="1:27" ht="18.75" customHeight="1" x14ac:dyDescent="0.35">
      <c r="A46" s="353" t="s">
        <v>42</v>
      </c>
      <c r="B46" s="354"/>
      <c r="C46" s="354"/>
      <c r="D46" s="354"/>
      <c r="E46" s="355"/>
      <c r="F46" s="151">
        <v>0</v>
      </c>
      <c r="G46" s="4"/>
      <c r="H46" s="198"/>
      <c r="I46" s="198"/>
      <c r="J46" s="198"/>
      <c r="K46" s="198"/>
      <c r="L46" s="198"/>
      <c r="M46" s="198"/>
      <c r="N46" s="198"/>
      <c r="O46" s="198"/>
      <c r="P46" s="1"/>
      <c r="Q46" s="1"/>
      <c r="R46" s="1"/>
      <c r="S46" s="1"/>
      <c r="T46" s="1"/>
      <c r="U46" s="1"/>
      <c r="V46" s="1"/>
      <c r="W46" s="1"/>
      <c r="X46" s="1"/>
      <c r="Y46" s="1"/>
      <c r="Z46" s="1"/>
    </row>
    <row r="47" spans="1:27" ht="15.5" x14ac:dyDescent="0.35">
      <c r="A47" s="302" t="s">
        <v>43</v>
      </c>
      <c r="B47" s="242"/>
      <c r="C47" s="242"/>
      <c r="D47" s="242"/>
      <c r="E47" s="242"/>
      <c r="F47" s="120">
        <f>F45</f>
        <v>0</v>
      </c>
      <c r="G47" s="1"/>
      <c r="H47" s="200" t="s">
        <v>141</v>
      </c>
      <c r="I47" s="198"/>
      <c r="J47" s="198"/>
      <c r="K47" s="198"/>
      <c r="L47" s="198"/>
      <c r="M47" s="198"/>
      <c r="N47" s="198"/>
      <c r="O47" s="198"/>
      <c r="P47" s="1"/>
      <c r="Q47" s="1"/>
      <c r="R47" s="1"/>
      <c r="S47" s="1"/>
      <c r="T47" s="1"/>
      <c r="U47" s="1"/>
      <c r="V47" s="1"/>
      <c r="W47" s="1"/>
      <c r="X47" s="1"/>
      <c r="Y47" s="1"/>
      <c r="Z47" s="1"/>
    </row>
    <row r="48" spans="1:27" ht="15.5" x14ac:dyDescent="0.35">
      <c r="A48" s="302" t="s">
        <v>44</v>
      </c>
      <c r="B48" s="242"/>
      <c r="C48" s="242"/>
      <c r="D48" s="242"/>
      <c r="E48" s="242"/>
      <c r="F48" s="118">
        <v>20</v>
      </c>
      <c r="G48" s="1"/>
      <c r="H48" s="198"/>
      <c r="I48" s="198"/>
      <c r="J48" s="198"/>
      <c r="K48" s="198"/>
      <c r="L48" s="198"/>
      <c r="M48" s="198"/>
      <c r="N48" s="198"/>
      <c r="O48" s="198"/>
      <c r="P48" s="1"/>
      <c r="Q48" s="1"/>
      <c r="R48" s="1"/>
      <c r="S48" s="1"/>
      <c r="T48" s="1"/>
      <c r="U48" s="1"/>
      <c r="V48" s="1"/>
      <c r="W48" s="1"/>
      <c r="X48" s="1"/>
      <c r="Y48" s="1"/>
      <c r="Z48" s="1"/>
    </row>
    <row r="49" spans="1:30" ht="15.5" x14ac:dyDescent="0.35">
      <c r="A49" s="302" t="s">
        <v>45</v>
      </c>
      <c r="B49" s="242"/>
      <c r="C49" s="242"/>
      <c r="D49" s="242"/>
      <c r="E49" s="242"/>
      <c r="F49" s="32">
        <v>0.05</v>
      </c>
      <c r="G49" s="1"/>
      <c r="H49" s="198"/>
      <c r="I49" s="198"/>
      <c r="J49" s="198"/>
      <c r="K49" s="198"/>
      <c r="L49" s="198"/>
      <c r="M49" s="198"/>
      <c r="N49" s="198"/>
      <c r="O49" s="198"/>
      <c r="P49" s="1"/>
      <c r="Q49" s="1"/>
      <c r="R49" s="1"/>
      <c r="S49" s="1"/>
      <c r="T49" s="1"/>
      <c r="U49" s="1"/>
      <c r="V49" s="1"/>
      <c r="W49" s="1"/>
      <c r="X49" s="1"/>
      <c r="Y49" s="1"/>
      <c r="Z49" s="1"/>
    </row>
    <row r="50" spans="1:30" ht="15.5" x14ac:dyDescent="0.35">
      <c r="A50" s="251" t="s">
        <v>46</v>
      </c>
      <c r="B50" s="252"/>
      <c r="C50" s="252"/>
      <c r="D50" s="252"/>
      <c r="E50" s="252"/>
      <c r="F50" s="145">
        <f>IFERROR(F47/F48,0)</f>
        <v>0</v>
      </c>
      <c r="G50" s="4"/>
      <c r="H50" s="198" t="s">
        <v>47</v>
      </c>
      <c r="I50" s="198"/>
      <c r="J50" s="198"/>
      <c r="K50" s="198"/>
      <c r="L50" s="198"/>
      <c r="M50" s="198"/>
      <c r="N50" s="198"/>
      <c r="O50" s="198"/>
      <c r="P50" s="1"/>
      <c r="Q50" s="1"/>
      <c r="R50" s="1"/>
      <c r="S50" s="1"/>
      <c r="T50" s="1"/>
      <c r="U50" s="1"/>
      <c r="V50" s="1"/>
      <c r="W50" s="1"/>
      <c r="X50" s="1"/>
      <c r="Y50" s="1"/>
      <c r="Z50" s="1"/>
    </row>
    <row r="51" spans="1:30" ht="15.5" x14ac:dyDescent="0.35">
      <c r="A51" s="287" t="s">
        <v>48</v>
      </c>
      <c r="B51" s="274"/>
      <c r="C51" s="274"/>
      <c r="D51" s="274"/>
      <c r="E51" s="274"/>
      <c r="F51" s="32">
        <v>0</v>
      </c>
      <c r="G51" s="89"/>
      <c r="H51" s="198"/>
      <c r="I51" s="198"/>
      <c r="J51" s="198"/>
      <c r="K51" s="198"/>
      <c r="L51" s="198"/>
      <c r="M51" s="198"/>
      <c r="N51" s="198"/>
      <c r="O51" s="198"/>
      <c r="P51" s="1"/>
      <c r="Q51" s="1"/>
      <c r="R51" s="1"/>
      <c r="S51" s="1"/>
      <c r="T51" s="1"/>
      <c r="U51" s="1"/>
      <c r="V51" s="1"/>
      <c r="W51" s="1"/>
      <c r="X51" s="1"/>
      <c r="Y51" s="1"/>
      <c r="Z51" s="1"/>
    </row>
    <row r="52" spans="1:30" ht="15.5" x14ac:dyDescent="0.35">
      <c r="A52" s="288" t="s">
        <v>49</v>
      </c>
      <c r="B52" s="289"/>
      <c r="C52" s="289"/>
      <c r="D52" s="289"/>
      <c r="E52" s="290"/>
      <c r="F52" s="119">
        <v>0.08</v>
      </c>
      <c r="G52" s="89"/>
      <c r="H52" s="198" t="s">
        <v>50</v>
      </c>
      <c r="I52" s="198"/>
      <c r="J52" s="198"/>
      <c r="K52" s="198"/>
      <c r="L52" s="198"/>
      <c r="M52" s="198"/>
      <c r="N52" s="198"/>
      <c r="O52" s="198"/>
      <c r="P52" s="1"/>
      <c r="Q52" s="1"/>
      <c r="R52" s="1"/>
      <c r="S52" s="1"/>
      <c r="T52" s="1"/>
      <c r="U52" s="1"/>
      <c r="V52" s="1"/>
      <c r="W52" s="1"/>
      <c r="X52" s="1"/>
      <c r="Y52" s="1"/>
      <c r="Z52" s="1"/>
    </row>
    <row r="53" spans="1:30" ht="15.5" x14ac:dyDescent="0.35">
      <c r="A53" s="273" t="s">
        <v>51</v>
      </c>
      <c r="B53" s="274"/>
      <c r="C53" s="274"/>
      <c r="D53" s="274"/>
      <c r="E53" s="275"/>
      <c r="F53" s="120">
        <f>F25*7.5</f>
        <v>0</v>
      </c>
      <c r="G53" s="93"/>
      <c r="H53" s="225" t="s">
        <v>142</v>
      </c>
      <c r="I53" s="224"/>
      <c r="J53" s="224"/>
      <c r="K53" s="224"/>
      <c r="L53" s="198" t="s">
        <v>52</v>
      </c>
      <c r="M53" s="200"/>
      <c r="N53" s="198"/>
      <c r="O53" s="198"/>
      <c r="P53" s="1"/>
      <c r="Q53" s="1"/>
      <c r="R53" s="1"/>
      <c r="S53" s="1"/>
      <c r="T53" s="1"/>
      <c r="U53" s="1"/>
      <c r="V53" s="1"/>
      <c r="W53" s="1"/>
      <c r="X53" s="1"/>
      <c r="Y53" s="1"/>
      <c r="Z53" s="1"/>
    </row>
    <row r="54" spans="1:30" ht="15.75" customHeight="1" thickBot="1" x14ac:dyDescent="0.4">
      <c r="A54" s="8"/>
      <c r="B54" s="9"/>
      <c r="C54" s="9"/>
      <c r="D54" s="10"/>
      <c r="E54" s="1"/>
      <c r="F54" s="1"/>
      <c r="G54" s="1"/>
      <c r="H54" s="224"/>
      <c r="I54" s="224"/>
      <c r="J54" s="224"/>
      <c r="K54" s="224"/>
      <c r="L54" s="198"/>
      <c r="M54" s="198"/>
      <c r="N54" s="198"/>
      <c r="O54" s="198"/>
      <c r="P54" s="1"/>
      <c r="Q54" s="1"/>
      <c r="R54" s="1"/>
      <c r="S54" s="1"/>
      <c r="T54" s="1"/>
      <c r="U54" s="1"/>
      <c r="V54" s="1"/>
      <c r="W54" s="1"/>
      <c r="X54" s="1"/>
      <c r="Y54" s="1"/>
      <c r="Z54" s="1"/>
    </row>
    <row r="55" spans="1:30" ht="15.75" customHeight="1" x14ac:dyDescent="0.35">
      <c r="A55" s="296" t="s">
        <v>53</v>
      </c>
      <c r="B55" s="297"/>
      <c r="C55" s="297"/>
      <c r="D55" s="297"/>
      <c r="E55" s="297"/>
      <c r="F55" s="297"/>
      <c r="G55" s="298"/>
      <c r="H55" s="11"/>
      <c r="I55" s="1"/>
      <c r="J55" s="1"/>
      <c r="K55" s="1"/>
      <c r="L55" s="1"/>
      <c r="M55" s="1"/>
      <c r="N55" s="1"/>
      <c r="O55" s="1"/>
      <c r="P55" s="1"/>
      <c r="Q55" s="1"/>
      <c r="R55" s="1"/>
      <c r="S55" s="1"/>
      <c r="T55" s="1"/>
      <c r="U55" s="1"/>
      <c r="V55" s="1"/>
      <c r="W55" s="1"/>
      <c r="X55" s="1"/>
      <c r="Y55" s="1"/>
      <c r="Z55" s="1"/>
    </row>
    <row r="56" spans="1:30" ht="16.5" customHeight="1" thickBot="1" x14ac:dyDescent="0.4">
      <c r="A56" s="299"/>
      <c r="B56" s="300"/>
      <c r="C56" s="300"/>
      <c r="D56" s="300"/>
      <c r="E56" s="300"/>
      <c r="F56" s="300"/>
      <c r="G56" s="301"/>
      <c r="H56" s="11"/>
      <c r="I56" s="1"/>
      <c r="J56" s="1"/>
      <c r="K56" s="1"/>
      <c r="L56" s="1"/>
      <c r="M56" s="1"/>
      <c r="N56" s="1"/>
      <c r="O56" s="1"/>
      <c r="P56" s="1"/>
      <c r="Q56" s="1"/>
      <c r="R56" s="1"/>
      <c r="S56" s="1"/>
      <c r="T56" s="1"/>
      <c r="U56" s="1"/>
      <c r="V56" s="1"/>
      <c r="W56" s="1"/>
      <c r="X56" s="1"/>
      <c r="Y56" s="1"/>
      <c r="Z56" s="1"/>
    </row>
    <row r="57" spans="1:30" ht="30.75" customHeight="1" thickBot="1" x14ac:dyDescent="0.4">
      <c r="A57" s="291" t="s">
        <v>54</v>
      </c>
      <c r="B57" s="292"/>
      <c r="C57" s="293" t="s">
        <v>55</v>
      </c>
      <c r="D57" s="292"/>
      <c r="E57" s="294" t="s">
        <v>56</v>
      </c>
      <c r="F57" s="295"/>
      <c r="G57" s="295"/>
      <c r="H57" s="295"/>
      <c r="I57" s="295"/>
      <c r="J57" s="295"/>
      <c r="K57" s="295"/>
      <c r="L57" s="281" t="s">
        <v>57</v>
      </c>
      <c r="M57" s="282"/>
      <c r="N57" s="283"/>
      <c r="O57" s="304" t="s">
        <v>58</v>
      </c>
      <c r="P57" s="305"/>
      <c r="Q57" s="305"/>
      <c r="R57" s="306"/>
      <c r="S57" s="12"/>
      <c r="T57" s="13"/>
      <c r="U57" s="13"/>
      <c r="V57" s="13"/>
      <c r="W57" s="13"/>
      <c r="X57" s="13"/>
      <c r="Y57" s="13"/>
      <c r="Z57" s="13"/>
      <c r="AA57" s="13"/>
      <c r="AB57" s="13"/>
      <c r="AC57" s="13"/>
      <c r="AD57" s="13"/>
    </row>
    <row r="58" spans="1:30" ht="90" customHeight="1" x14ac:dyDescent="0.35">
      <c r="A58" s="136" t="s">
        <v>59</v>
      </c>
      <c r="B58" s="137" t="s">
        <v>60</v>
      </c>
      <c r="C58" s="138" t="s">
        <v>61</v>
      </c>
      <c r="D58" s="139" t="s">
        <v>62</v>
      </c>
      <c r="E58" s="129" t="s">
        <v>63</v>
      </c>
      <c r="F58" s="129" t="s">
        <v>64</v>
      </c>
      <c r="G58" s="130" t="s">
        <v>65</v>
      </c>
      <c r="H58" s="129" t="s">
        <v>66</v>
      </c>
      <c r="I58" s="129" t="s">
        <v>67</v>
      </c>
      <c r="J58" s="129" t="s">
        <v>68</v>
      </c>
      <c r="K58" s="130" t="s">
        <v>69</v>
      </c>
      <c r="L58" s="191" t="s">
        <v>70</v>
      </c>
      <c r="M58" s="192" t="s">
        <v>71</v>
      </c>
      <c r="N58" s="193" t="s">
        <v>72</v>
      </c>
      <c r="O58" s="134" t="s">
        <v>73</v>
      </c>
      <c r="P58" s="134" t="s">
        <v>74</v>
      </c>
      <c r="Q58" s="134" t="s">
        <v>75</v>
      </c>
      <c r="R58" s="174" t="s">
        <v>23</v>
      </c>
      <c r="S58" s="14"/>
      <c r="T58" s="15"/>
      <c r="U58" s="15"/>
      <c r="V58" s="15"/>
      <c r="W58" s="15"/>
      <c r="X58" s="15"/>
      <c r="Y58" s="15"/>
      <c r="Z58" s="15"/>
      <c r="AA58" s="15"/>
      <c r="AB58" s="15"/>
    </row>
    <row r="59" spans="1:30" ht="15.5" x14ac:dyDescent="0.35">
      <c r="A59" s="48">
        <v>0</v>
      </c>
      <c r="B59" s="47" t="s">
        <v>76</v>
      </c>
      <c r="C59" s="40" t="s">
        <v>47</v>
      </c>
      <c r="D59" s="49" t="s">
        <v>47</v>
      </c>
      <c r="E59" s="50">
        <v>0</v>
      </c>
      <c r="F59" s="51">
        <f>IF((F48&gt;0),0,$F$45)</f>
        <v>0</v>
      </c>
      <c r="G59" s="52">
        <v>0</v>
      </c>
      <c r="H59" s="52" t="str">
        <f>IF(F47&gt;0,(F47),"")</f>
        <v/>
      </c>
      <c r="I59" s="52">
        <f>IF(OR(H59="",H59=0),0,F45-F47)</f>
        <v>0</v>
      </c>
      <c r="J59" s="53"/>
      <c r="K59" s="131">
        <f>IFERROR(F59+G59+I59+J59,J59)</f>
        <v>0</v>
      </c>
      <c r="L59" s="54" t="s">
        <v>47</v>
      </c>
      <c r="M59" s="55" t="s">
        <v>47</v>
      </c>
      <c r="N59" s="56" t="s">
        <v>47</v>
      </c>
      <c r="O59" s="57">
        <f>-K59</f>
        <v>0</v>
      </c>
      <c r="P59" s="58">
        <f>$O59</f>
        <v>0</v>
      </c>
      <c r="Q59" s="59" t="s">
        <v>47</v>
      </c>
      <c r="R59" s="175">
        <f t="shared" ref="R59:R89" si="0">IF(Q59&lt;0,1,0)</f>
        <v>0</v>
      </c>
      <c r="S59" s="16"/>
      <c r="T59" s="3"/>
      <c r="U59" s="1"/>
      <c r="V59" s="1"/>
      <c r="W59" s="1"/>
      <c r="X59" s="1"/>
      <c r="Y59" s="1"/>
      <c r="Z59" s="1"/>
      <c r="AA59" s="1"/>
      <c r="AB59" s="1"/>
      <c r="AC59" s="1"/>
    </row>
    <row r="60" spans="1:30" ht="15.5" x14ac:dyDescent="0.35">
      <c r="A60" s="48">
        <v>1</v>
      </c>
      <c r="B60" s="47">
        <f>F29</f>
        <v>0</v>
      </c>
      <c r="C60" s="40">
        <f>(F18/100)</f>
        <v>2.2530000000000001E-2</v>
      </c>
      <c r="D60" s="49">
        <f t="shared" ref="D60:D89" si="1">B60*C60</f>
        <v>0</v>
      </c>
      <c r="E60" s="50">
        <f>IF(OR(F48="",F48=0),"",E59+1)</f>
        <v>1</v>
      </c>
      <c r="F60" s="122">
        <f>IF(E60="","",$F$50)</f>
        <v>0</v>
      </c>
      <c r="G60" s="123">
        <f>IF(E60="","",($F$47-F48)*$F$49)</f>
        <v>-1</v>
      </c>
      <c r="H60" s="123" t="str">
        <f>IFERROR(ROUND(IF(E60="","",(H59-SUM(F59:F60))),2),"")</f>
        <v/>
      </c>
      <c r="I60" s="123"/>
      <c r="J60" s="124">
        <f t="shared" ref="J60:J72" si="2">$F$53</f>
        <v>0</v>
      </c>
      <c r="K60" s="131">
        <f>IFERROR(F60+G60+I60+J60,J60)</f>
        <v>-1</v>
      </c>
      <c r="L60" s="54">
        <f>F38/100</f>
        <v>0.02</v>
      </c>
      <c r="M60" s="55" t="e">
        <f t="shared" ref="M60:M89" si="3">B60*$F$36*L60</f>
        <v>#DIV/0!</v>
      </c>
      <c r="N60" s="132" t="e">
        <f t="shared" ref="N60:N89" si="4">D60*(1-$F$36)+M60</f>
        <v>#DIV/0!</v>
      </c>
      <c r="O60" s="125" t="e">
        <f t="shared" ref="O60:O89" si="5">N60-K60</f>
        <v>#DIV/0!</v>
      </c>
      <c r="P60" s="126" t="e">
        <f t="shared" ref="P60:P89" si="6">P59+$O60</f>
        <v>#DIV/0!</v>
      </c>
      <c r="Q60" s="135" t="e">
        <f>NPV($F$51,O59:O60)</f>
        <v>#DIV/0!</v>
      </c>
      <c r="R60" s="175" t="e">
        <f t="shared" si="0"/>
        <v>#DIV/0!</v>
      </c>
      <c r="S60" s="16"/>
      <c r="T60" s="3"/>
      <c r="U60" s="1"/>
      <c r="V60" s="1"/>
      <c r="W60" s="1"/>
      <c r="X60" s="1"/>
      <c r="Y60" s="1"/>
      <c r="Z60" s="1"/>
      <c r="AA60" s="1"/>
      <c r="AB60" s="1"/>
      <c r="AC60" s="1"/>
    </row>
    <row r="61" spans="1:30" ht="15.5" x14ac:dyDescent="0.35">
      <c r="A61" s="48">
        <v>2</v>
      </c>
      <c r="B61" s="47">
        <f t="shared" ref="B61:B89" si="7">$F$35*B60+B60</f>
        <v>0</v>
      </c>
      <c r="C61" s="40">
        <f t="shared" ref="C61:C89" si="8">(1+$F$19)*C60</f>
        <v>2.5233600000000005E-2</v>
      </c>
      <c r="D61" s="49">
        <f t="shared" si="1"/>
        <v>0</v>
      </c>
      <c r="E61" s="50" t="str">
        <f>IF(OR(H60="",H60=0),"",E60+1)</f>
        <v/>
      </c>
      <c r="F61" s="51" t="str">
        <f t="shared" ref="F61:F78" si="9">IF(E61="","",$F$50)</f>
        <v/>
      </c>
      <c r="G61" s="52" t="str">
        <f>IF(E61="","",(($F$47-SUM($F$59:F61))*$F$49))</f>
        <v/>
      </c>
      <c r="H61" s="52" t="str">
        <f>IFERROR(ROUND(IF(E61="","",(H59-SUM(F59:F61))),2),"")</f>
        <v/>
      </c>
      <c r="I61" s="52"/>
      <c r="J61" s="53">
        <f t="shared" si="2"/>
        <v>0</v>
      </c>
      <c r="K61" s="131">
        <f t="shared" ref="K61:K89" si="10">IFERROR(F61+G61+I61+J61,J61)</f>
        <v>0</v>
      </c>
      <c r="L61" s="54">
        <f t="shared" ref="L61:L89" si="11">(1+$F$19)*L60</f>
        <v>2.2400000000000003E-2</v>
      </c>
      <c r="M61" s="55" t="e">
        <f t="shared" si="3"/>
        <v>#DIV/0!</v>
      </c>
      <c r="N61" s="132" t="e">
        <f t="shared" si="4"/>
        <v>#DIV/0!</v>
      </c>
      <c r="O61" s="125" t="e">
        <f t="shared" si="5"/>
        <v>#DIV/0!</v>
      </c>
      <c r="P61" s="126" t="e">
        <f t="shared" si="6"/>
        <v>#DIV/0!</v>
      </c>
      <c r="Q61" s="135" t="e">
        <f>NPV($F$51,O59:O61)</f>
        <v>#DIV/0!</v>
      </c>
      <c r="R61" s="175" t="e">
        <f t="shared" si="0"/>
        <v>#DIV/0!</v>
      </c>
      <c r="S61" s="16"/>
      <c r="T61" s="3"/>
      <c r="U61" s="1"/>
      <c r="V61" s="1"/>
      <c r="W61" s="1"/>
      <c r="X61" s="1"/>
      <c r="Y61" s="1"/>
      <c r="Z61" s="1"/>
      <c r="AA61" s="1"/>
      <c r="AB61" s="1"/>
      <c r="AC61" s="1"/>
    </row>
    <row r="62" spans="1:30" ht="15.5" x14ac:dyDescent="0.35">
      <c r="A62" s="48">
        <v>3</v>
      </c>
      <c r="B62" s="47">
        <f t="shared" si="7"/>
        <v>0</v>
      </c>
      <c r="C62" s="40">
        <f t="shared" si="8"/>
        <v>2.8261632000000009E-2</v>
      </c>
      <c r="D62" s="49">
        <f t="shared" si="1"/>
        <v>0</v>
      </c>
      <c r="E62" s="50" t="str">
        <f t="shared" ref="E62:E78" si="12">IF(OR(H61="",H61=0),"",E61+1)</f>
        <v/>
      </c>
      <c r="F62" s="51" t="str">
        <f t="shared" si="9"/>
        <v/>
      </c>
      <c r="G62" s="52" t="str">
        <f>IF(E62="","",(($F$47-SUM($F$59:F62))*$F$49))</f>
        <v/>
      </c>
      <c r="H62" s="52" t="str">
        <f>IFERROR(ROUND(IF(E62="","",(H59-SUM(F59:F62))),2),"")</f>
        <v/>
      </c>
      <c r="I62" s="52"/>
      <c r="J62" s="53">
        <f t="shared" si="2"/>
        <v>0</v>
      </c>
      <c r="K62" s="131">
        <f t="shared" si="10"/>
        <v>0</v>
      </c>
      <c r="L62" s="54">
        <f t="shared" si="11"/>
        <v>2.5088000000000006E-2</v>
      </c>
      <c r="M62" s="55" t="e">
        <f t="shared" si="3"/>
        <v>#DIV/0!</v>
      </c>
      <c r="N62" s="132" t="e">
        <f t="shared" si="4"/>
        <v>#DIV/0!</v>
      </c>
      <c r="O62" s="125" t="e">
        <f t="shared" si="5"/>
        <v>#DIV/0!</v>
      </c>
      <c r="P62" s="126" t="e">
        <f t="shared" si="6"/>
        <v>#DIV/0!</v>
      </c>
      <c r="Q62" s="135" t="e">
        <f>NPV($F$51,O59:O62)</f>
        <v>#DIV/0!</v>
      </c>
      <c r="R62" s="175" t="e">
        <f t="shared" si="0"/>
        <v>#DIV/0!</v>
      </c>
      <c r="S62" s="16"/>
      <c r="T62" s="3"/>
      <c r="U62" s="1"/>
      <c r="V62" s="1"/>
      <c r="W62" s="1"/>
      <c r="X62" s="1"/>
      <c r="Y62" s="1"/>
      <c r="Z62" s="1"/>
      <c r="AA62" s="1"/>
      <c r="AB62" s="1"/>
      <c r="AC62" s="1"/>
    </row>
    <row r="63" spans="1:30" ht="15.5" x14ac:dyDescent="0.35">
      <c r="A63" s="48">
        <v>4</v>
      </c>
      <c r="B63" s="47">
        <f t="shared" si="7"/>
        <v>0</v>
      </c>
      <c r="C63" s="40">
        <f t="shared" si="8"/>
        <v>3.1653027840000014E-2</v>
      </c>
      <c r="D63" s="49">
        <f t="shared" si="1"/>
        <v>0</v>
      </c>
      <c r="E63" s="50" t="str">
        <f t="shared" si="12"/>
        <v/>
      </c>
      <c r="F63" s="51" t="str">
        <f t="shared" si="9"/>
        <v/>
      </c>
      <c r="G63" s="52" t="str">
        <f>IF(E63="","",(($F$47-SUM($F$59:F63))*$F$49))</f>
        <v/>
      </c>
      <c r="H63" s="52" t="str">
        <f>IFERROR(ROUND(IF(E63="","",(H59-SUM(F59:F63))),2),"")</f>
        <v/>
      </c>
      <c r="I63" s="52"/>
      <c r="J63" s="53">
        <f t="shared" si="2"/>
        <v>0</v>
      </c>
      <c r="K63" s="131">
        <f t="shared" si="10"/>
        <v>0</v>
      </c>
      <c r="L63" s="54">
        <f t="shared" si="11"/>
        <v>2.8098560000000009E-2</v>
      </c>
      <c r="M63" s="55" t="e">
        <f t="shared" si="3"/>
        <v>#DIV/0!</v>
      </c>
      <c r="N63" s="132" t="e">
        <f t="shared" si="4"/>
        <v>#DIV/0!</v>
      </c>
      <c r="O63" s="125" t="e">
        <f t="shared" si="5"/>
        <v>#DIV/0!</v>
      </c>
      <c r="P63" s="126" t="e">
        <f t="shared" si="6"/>
        <v>#DIV/0!</v>
      </c>
      <c r="Q63" s="135" t="e">
        <f>NPV($F$51,O59:O63)</f>
        <v>#DIV/0!</v>
      </c>
      <c r="R63" s="175" t="e">
        <f t="shared" si="0"/>
        <v>#DIV/0!</v>
      </c>
      <c r="S63" s="16"/>
      <c r="T63" s="3"/>
      <c r="U63" s="1"/>
      <c r="V63" s="1"/>
      <c r="W63" s="1"/>
      <c r="X63" s="1"/>
      <c r="Y63" s="1"/>
      <c r="Z63" s="1"/>
      <c r="AA63" s="1"/>
      <c r="AB63" s="1"/>
      <c r="AC63" s="1"/>
    </row>
    <row r="64" spans="1:30" ht="15.5" x14ac:dyDescent="0.35">
      <c r="A64" s="48">
        <v>5</v>
      </c>
      <c r="B64" s="47">
        <f t="shared" si="7"/>
        <v>0</v>
      </c>
      <c r="C64" s="40">
        <f t="shared" si="8"/>
        <v>3.545139118080002E-2</v>
      </c>
      <c r="D64" s="49">
        <f t="shared" si="1"/>
        <v>0</v>
      </c>
      <c r="E64" s="50" t="str">
        <f t="shared" si="12"/>
        <v/>
      </c>
      <c r="F64" s="51" t="str">
        <f t="shared" si="9"/>
        <v/>
      </c>
      <c r="G64" s="52" t="str">
        <f>IF(E64="","",(($F$47-SUM($F$59:F64))*$F$49))</f>
        <v/>
      </c>
      <c r="H64" s="52" t="str">
        <f>IFERROR(ROUND(IF(E64="","",(H59-SUM(F59:F64))),2),"")</f>
        <v/>
      </c>
      <c r="I64" s="52"/>
      <c r="J64" s="53">
        <f t="shared" si="2"/>
        <v>0</v>
      </c>
      <c r="K64" s="131">
        <f t="shared" si="10"/>
        <v>0</v>
      </c>
      <c r="L64" s="54">
        <f t="shared" si="11"/>
        <v>3.1470387200000012E-2</v>
      </c>
      <c r="M64" s="55" t="e">
        <f t="shared" si="3"/>
        <v>#DIV/0!</v>
      </c>
      <c r="N64" s="132" t="e">
        <f t="shared" si="4"/>
        <v>#DIV/0!</v>
      </c>
      <c r="O64" s="125" t="e">
        <f t="shared" si="5"/>
        <v>#DIV/0!</v>
      </c>
      <c r="P64" s="126" t="e">
        <f t="shared" si="6"/>
        <v>#DIV/0!</v>
      </c>
      <c r="Q64" s="135" t="e">
        <f>NPV($F$51,O59:O64)</f>
        <v>#DIV/0!</v>
      </c>
      <c r="R64" s="175" t="e">
        <f t="shared" si="0"/>
        <v>#DIV/0!</v>
      </c>
      <c r="S64" s="16"/>
      <c r="T64" s="3"/>
      <c r="U64" s="1"/>
      <c r="V64" s="1"/>
      <c r="W64" s="1"/>
      <c r="X64" s="1"/>
      <c r="Y64" s="1"/>
      <c r="Z64" s="1"/>
      <c r="AA64" s="1"/>
      <c r="AB64" s="1"/>
      <c r="AC64" s="1"/>
    </row>
    <row r="65" spans="1:29" ht="15.5" x14ac:dyDescent="0.35">
      <c r="A65" s="48">
        <v>6</v>
      </c>
      <c r="B65" s="47">
        <f t="shared" si="7"/>
        <v>0</v>
      </c>
      <c r="C65" s="40">
        <f t="shared" si="8"/>
        <v>3.9705558122496029E-2</v>
      </c>
      <c r="D65" s="49">
        <f t="shared" si="1"/>
        <v>0</v>
      </c>
      <c r="E65" s="50" t="str">
        <f t="shared" si="12"/>
        <v/>
      </c>
      <c r="F65" s="51" t="str">
        <f t="shared" si="9"/>
        <v/>
      </c>
      <c r="G65" s="52" t="str">
        <f>IF(E65="","",(($F$47-SUM($F$59:F65))*$F$49))</f>
        <v/>
      </c>
      <c r="H65" s="52" t="str">
        <f>IFERROR(ROUND(IF(E65="","",(H59-SUM(F59:F65))),2),"")</f>
        <v/>
      </c>
      <c r="I65" s="52"/>
      <c r="J65" s="53">
        <f t="shared" si="2"/>
        <v>0</v>
      </c>
      <c r="K65" s="131">
        <f t="shared" si="10"/>
        <v>0</v>
      </c>
      <c r="L65" s="54">
        <f t="shared" si="11"/>
        <v>3.524683366400002E-2</v>
      </c>
      <c r="M65" s="55" t="e">
        <f t="shared" si="3"/>
        <v>#DIV/0!</v>
      </c>
      <c r="N65" s="132" t="e">
        <f t="shared" si="4"/>
        <v>#DIV/0!</v>
      </c>
      <c r="O65" s="125" t="e">
        <f t="shared" si="5"/>
        <v>#DIV/0!</v>
      </c>
      <c r="P65" s="126" t="e">
        <f t="shared" si="6"/>
        <v>#DIV/0!</v>
      </c>
      <c r="Q65" s="135" t="e">
        <f>NPV($F$51,O59:O65)</f>
        <v>#DIV/0!</v>
      </c>
      <c r="R65" s="175" t="e">
        <f t="shared" si="0"/>
        <v>#DIV/0!</v>
      </c>
      <c r="S65" s="16"/>
      <c r="T65" s="3"/>
      <c r="U65" s="1"/>
      <c r="V65" s="1"/>
      <c r="W65" s="1"/>
      <c r="X65" s="1"/>
      <c r="Y65" s="1"/>
      <c r="Z65" s="1"/>
      <c r="AA65" s="1"/>
      <c r="AB65" s="1"/>
      <c r="AC65" s="1"/>
    </row>
    <row r="66" spans="1:29" ht="15.5" x14ac:dyDescent="0.35">
      <c r="A66" s="48">
        <v>7</v>
      </c>
      <c r="B66" s="47">
        <f t="shared" si="7"/>
        <v>0</v>
      </c>
      <c r="C66" s="40">
        <f t="shared" si="8"/>
        <v>4.4470225097195559E-2</v>
      </c>
      <c r="D66" s="49">
        <f t="shared" si="1"/>
        <v>0</v>
      </c>
      <c r="E66" s="50" t="str">
        <f t="shared" si="12"/>
        <v/>
      </c>
      <c r="F66" s="51" t="str">
        <f t="shared" si="9"/>
        <v/>
      </c>
      <c r="G66" s="52" t="str">
        <f>IF(E66="","",(($F$47-SUM($F$59:F66))*$F$49))</f>
        <v/>
      </c>
      <c r="H66" s="52" t="str">
        <f>IFERROR(ROUND(IF(E66="","",(H59-SUM(F59:F66))),2),"")</f>
        <v/>
      </c>
      <c r="I66" s="52"/>
      <c r="J66" s="53">
        <f t="shared" si="2"/>
        <v>0</v>
      </c>
      <c r="K66" s="131">
        <f t="shared" si="10"/>
        <v>0</v>
      </c>
      <c r="L66" s="54">
        <f t="shared" si="11"/>
        <v>3.9476453703680026E-2</v>
      </c>
      <c r="M66" s="55" t="e">
        <f t="shared" si="3"/>
        <v>#DIV/0!</v>
      </c>
      <c r="N66" s="132" t="e">
        <f t="shared" si="4"/>
        <v>#DIV/0!</v>
      </c>
      <c r="O66" s="125" t="e">
        <f t="shared" si="5"/>
        <v>#DIV/0!</v>
      </c>
      <c r="P66" s="126" t="e">
        <f t="shared" si="6"/>
        <v>#DIV/0!</v>
      </c>
      <c r="Q66" s="135" t="e">
        <f>NPV($F$51,O59:O66)</f>
        <v>#DIV/0!</v>
      </c>
      <c r="R66" s="175" t="e">
        <f t="shared" si="0"/>
        <v>#DIV/0!</v>
      </c>
      <c r="S66" s="16"/>
      <c r="T66" s="3"/>
      <c r="U66" s="1"/>
      <c r="V66" s="1"/>
      <c r="W66" s="1"/>
      <c r="X66" s="1"/>
      <c r="Y66" s="1"/>
      <c r="Z66" s="1"/>
      <c r="AA66" s="1"/>
      <c r="AB66" s="1"/>
      <c r="AC66" s="1"/>
    </row>
    <row r="67" spans="1:29" ht="15.5" x14ac:dyDescent="0.35">
      <c r="A67" s="48">
        <v>8</v>
      </c>
      <c r="B67" s="47">
        <f t="shared" si="7"/>
        <v>0</v>
      </c>
      <c r="C67" s="40">
        <f t="shared" si="8"/>
        <v>4.9806652108859033E-2</v>
      </c>
      <c r="D67" s="49">
        <f t="shared" si="1"/>
        <v>0</v>
      </c>
      <c r="E67" s="50" t="str">
        <f t="shared" si="12"/>
        <v/>
      </c>
      <c r="F67" s="51" t="str">
        <f t="shared" si="9"/>
        <v/>
      </c>
      <c r="G67" s="52" t="str">
        <f>IF(E67="","",(($F$47-SUM($F$59:F67))*$F$49))</f>
        <v/>
      </c>
      <c r="H67" s="52" t="str">
        <f>IFERROR(ROUND(IF(E67="","",(H59-SUM(F59:F67))),2),"")</f>
        <v/>
      </c>
      <c r="I67" s="52"/>
      <c r="J67" s="53">
        <f t="shared" si="2"/>
        <v>0</v>
      </c>
      <c r="K67" s="131">
        <f t="shared" si="10"/>
        <v>0</v>
      </c>
      <c r="L67" s="54">
        <f t="shared" si="11"/>
        <v>4.4213628148121631E-2</v>
      </c>
      <c r="M67" s="55" t="e">
        <f t="shared" si="3"/>
        <v>#DIV/0!</v>
      </c>
      <c r="N67" s="132" t="e">
        <f t="shared" si="4"/>
        <v>#DIV/0!</v>
      </c>
      <c r="O67" s="125" t="e">
        <f t="shared" si="5"/>
        <v>#DIV/0!</v>
      </c>
      <c r="P67" s="126" t="e">
        <f t="shared" si="6"/>
        <v>#DIV/0!</v>
      </c>
      <c r="Q67" s="135" t="e">
        <f>NPV($F$51,O59:O67)</f>
        <v>#DIV/0!</v>
      </c>
      <c r="R67" s="175" t="e">
        <f t="shared" si="0"/>
        <v>#DIV/0!</v>
      </c>
      <c r="S67" s="16"/>
      <c r="T67" s="3"/>
      <c r="U67" s="1"/>
      <c r="V67" s="1"/>
      <c r="W67" s="1"/>
      <c r="X67" s="1"/>
      <c r="Y67" s="1"/>
      <c r="Z67" s="1"/>
      <c r="AA67" s="1"/>
      <c r="AB67" s="1"/>
      <c r="AC67" s="1"/>
    </row>
    <row r="68" spans="1:29" ht="15.5" x14ac:dyDescent="0.35">
      <c r="A68" s="48">
        <v>9</v>
      </c>
      <c r="B68" s="47">
        <f t="shared" si="7"/>
        <v>0</v>
      </c>
      <c r="C68" s="40">
        <f t="shared" si="8"/>
        <v>5.5783450361922123E-2</v>
      </c>
      <c r="D68" s="49">
        <f t="shared" si="1"/>
        <v>0</v>
      </c>
      <c r="E68" s="50" t="str">
        <f t="shared" si="12"/>
        <v/>
      </c>
      <c r="F68" s="51" t="str">
        <f t="shared" si="9"/>
        <v/>
      </c>
      <c r="G68" s="52" t="str">
        <f>IF(E68="","",(($F$47-SUM($F$59:F68))*$F$49))</f>
        <v/>
      </c>
      <c r="H68" s="52" t="str">
        <f>IFERROR(ROUND(IF(E68="","",(H59-SUM(F59:F68))),2),"")</f>
        <v/>
      </c>
      <c r="I68" s="52"/>
      <c r="J68" s="53">
        <f t="shared" si="2"/>
        <v>0</v>
      </c>
      <c r="K68" s="131">
        <f t="shared" si="10"/>
        <v>0</v>
      </c>
      <c r="L68" s="54">
        <f t="shared" si="11"/>
        <v>4.951926352589623E-2</v>
      </c>
      <c r="M68" s="55" t="e">
        <f t="shared" si="3"/>
        <v>#DIV/0!</v>
      </c>
      <c r="N68" s="132" t="e">
        <f t="shared" si="4"/>
        <v>#DIV/0!</v>
      </c>
      <c r="O68" s="125" t="e">
        <f t="shared" si="5"/>
        <v>#DIV/0!</v>
      </c>
      <c r="P68" s="126" t="e">
        <f t="shared" si="6"/>
        <v>#DIV/0!</v>
      </c>
      <c r="Q68" s="135" t="e">
        <f>NPV($F$51,O59:O68)</f>
        <v>#DIV/0!</v>
      </c>
      <c r="R68" s="175" t="e">
        <f t="shared" si="0"/>
        <v>#DIV/0!</v>
      </c>
      <c r="S68" s="16"/>
      <c r="T68" s="3"/>
      <c r="U68" s="1"/>
      <c r="V68" s="1"/>
      <c r="W68" s="1"/>
      <c r="X68" s="1"/>
      <c r="Y68" s="1"/>
      <c r="Z68" s="1"/>
      <c r="AA68" s="1"/>
      <c r="AB68" s="1"/>
      <c r="AC68" s="1"/>
    </row>
    <row r="69" spans="1:29" ht="15.5" x14ac:dyDescent="0.35">
      <c r="A69" s="48">
        <v>10</v>
      </c>
      <c r="B69" s="47">
        <f t="shared" si="7"/>
        <v>0</v>
      </c>
      <c r="C69" s="40">
        <f t="shared" si="8"/>
        <v>6.2477464405352783E-2</v>
      </c>
      <c r="D69" s="49">
        <f t="shared" si="1"/>
        <v>0</v>
      </c>
      <c r="E69" s="50" t="str">
        <f t="shared" si="12"/>
        <v/>
      </c>
      <c r="F69" s="51" t="str">
        <f t="shared" si="9"/>
        <v/>
      </c>
      <c r="G69" s="52" t="str">
        <f>IF(E69="","",(($F$47-SUM($F$59:F69))*$F$49))</f>
        <v/>
      </c>
      <c r="H69" s="52" t="str">
        <f>IFERROR(ROUND(IF(E69="","",(H59-SUM(F59:F69))),2),"")</f>
        <v/>
      </c>
      <c r="I69" s="52"/>
      <c r="J69" s="53">
        <f t="shared" si="2"/>
        <v>0</v>
      </c>
      <c r="K69" s="131">
        <f t="shared" si="10"/>
        <v>0</v>
      </c>
      <c r="L69" s="54">
        <f t="shared" si="11"/>
        <v>5.5461575149003781E-2</v>
      </c>
      <c r="M69" s="55" t="e">
        <f t="shared" si="3"/>
        <v>#DIV/0!</v>
      </c>
      <c r="N69" s="132" t="e">
        <f t="shared" si="4"/>
        <v>#DIV/0!</v>
      </c>
      <c r="O69" s="125" t="e">
        <f t="shared" si="5"/>
        <v>#DIV/0!</v>
      </c>
      <c r="P69" s="126" t="e">
        <f t="shared" si="6"/>
        <v>#DIV/0!</v>
      </c>
      <c r="Q69" s="135" t="e">
        <f>NPV($F$51,O59:O69)</f>
        <v>#DIV/0!</v>
      </c>
      <c r="R69" s="175" t="e">
        <f t="shared" si="0"/>
        <v>#DIV/0!</v>
      </c>
      <c r="S69" s="16"/>
      <c r="T69" s="3"/>
      <c r="U69" s="1"/>
      <c r="V69" s="1"/>
      <c r="W69" s="1"/>
      <c r="X69" s="1"/>
      <c r="Y69" s="1"/>
      <c r="Z69" s="1"/>
      <c r="AA69" s="1"/>
      <c r="AB69" s="1"/>
      <c r="AC69" s="1"/>
    </row>
    <row r="70" spans="1:29" ht="15.5" x14ac:dyDescent="0.35">
      <c r="A70" s="48">
        <v>11</v>
      </c>
      <c r="B70" s="47">
        <f t="shared" si="7"/>
        <v>0</v>
      </c>
      <c r="C70" s="40">
        <f t="shared" si="8"/>
        <v>6.9974760133995118E-2</v>
      </c>
      <c r="D70" s="49">
        <f t="shared" si="1"/>
        <v>0</v>
      </c>
      <c r="E70" s="50" t="str">
        <f t="shared" si="12"/>
        <v/>
      </c>
      <c r="F70" s="51" t="str">
        <f t="shared" si="9"/>
        <v/>
      </c>
      <c r="G70" s="52" t="str">
        <f>IF(E70="","",(($F$47-SUM($F$59:F70))*$F$49))</f>
        <v/>
      </c>
      <c r="H70" s="52" t="str">
        <f>IFERROR(ROUND(IF(E70="","",(H59-SUM(F59:F69))),2),"")</f>
        <v/>
      </c>
      <c r="I70" s="52"/>
      <c r="J70" s="53">
        <f t="shared" si="2"/>
        <v>0</v>
      </c>
      <c r="K70" s="131">
        <f t="shared" si="10"/>
        <v>0</v>
      </c>
      <c r="L70" s="54">
        <f t="shared" si="11"/>
        <v>6.2116964166884239E-2</v>
      </c>
      <c r="M70" s="55" t="e">
        <f t="shared" si="3"/>
        <v>#DIV/0!</v>
      </c>
      <c r="N70" s="132" t="e">
        <f t="shared" si="4"/>
        <v>#DIV/0!</v>
      </c>
      <c r="O70" s="125" t="e">
        <f t="shared" si="5"/>
        <v>#DIV/0!</v>
      </c>
      <c r="P70" s="126" t="e">
        <f t="shared" si="6"/>
        <v>#DIV/0!</v>
      </c>
      <c r="Q70" s="135" t="e">
        <f>NPV($F$51,O59:O70)</f>
        <v>#DIV/0!</v>
      </c>
      <c r="R70" s="175" t="e">
        <f t="shared" si="0"/>
        <v>#DIV/0!</v>
      </c>
      <c r="S70" s="16"/>
      <c r="T70" s="3"/>
      <c r="U70" s="1"/>
      <c r="V70" s="1"/>
      <c r="W70" s="1"/>
      <c r="X70" s="1"/>
      <c r="Y70" s="1"/>
      <c r="Z70" s="1"/>
      <c r="AA70" s="1"/>
      <c r="AB70" s="1"/>
      <c r="AC70" s="1"/>
    </row>
    <row r="71" spans="1:29" ht="15.5" x14ac:dyDescent="0.35">
      <c r="A71" s="48">
        <v>12</v>
      </c>
      <c r="B71" s="47">
        <f t="shared" si="7"/>
        <v>0</v>
      </c>
      <c r="C71" s="40">
        <f t="shared" si="8"/>
        <v>7.8371731350074539E-2</v>
      </c>
      <c r="D71" s="49">
        <f t="shared" si="1"/>
        <v>0</v>
      </c>
      <c r="E71" s="50" t="str">
        <f t="shared" si="12"/>
        <v/>
      </c>
      <c r="F71" s="51" t="str">
        <f t="shared" si="9"/>
        <v/>
      </c>
      <c r="G71" s="52" t="str">
        <f>IF(E71="","",(($F$47-SUM($F$59:F71))*$F$49))</f>
        <v/>
      </c>
      <c r="H71" s="52" t="str">
        <f>IFERROR(ROUND(IF(E71="","",(H59-SUM(F59:F70))),2),"")</f>
        <v/>
      </c>
      <c r="I71" s="52"/>
      <c r="J71" s="53">
        <f t="shared" si="2"/>
        <v>0</v>
      </c>
      <c r="K71" s="131">
        <f t="shared" si="10"/>
        <v>0</v>
      </c>
      <c r="L71" s="54">
        <f t="shared" si="11"/>
        <v>6.9570999866910357E-2</v>
      </c>
      <c r="M71" s="55" t="e">
        <f t="shared" si="3"/>
        <v>#DIV/0!</v>
      </c>
      <c r="N71" s="132" t="e">
        <f t="shared" si="4"/>
        <v>#DIV/0!</v>
      </c>
      <c r="O71" s="125" t="e">
        <f t="shared" si="5"/>
        <v>#DIV/0!</v>
      </c>
      <c r="P71" s="126" t="e">
        <f t="shared" si="6"/>
        <v>#DIV/0!</v>
      </c>
      <c r="Q71" s="135" t="e">
        <f>NPV($F$51,O59:O71)</f>
        <v>#DIV/0!</v>
      </c>
      <c r="R71" s="175" t="e">
        <f t="shared" si="0"/>
        <v>#DIV/0!</v>
      </c>
      <c r="S71" s="16"/>
      <c r="T71" s="3"/>
      <c r="U71" s="1"/>
      <c r="V71" s="1"/>
      <c r="W71" s="1"/>
      <c r="X71" s="1"/>
      <c r="Y71" s="1"/>
      <c r="Z71" s="1"/>
      <c r="AA71" s="1"/>
      <c r="AB71" s="1"/>
      <c r="AC71" s="1"/>
    </row>
    <row r="72" spans="1:29" ht="15.5" x14ac:dyDescent="0.35">
      <c r="A72" s="48">
        <v>13</v>
      </c>
      <c r="B72" s="47">
        <f t="shared" si="7"/>
        <v>0</v>
      </c>
      <c r="C72" s="40">
        <f t="shared" si="8"/>
        <v>8.777633911208349E-2</v>
      </c>
      <c r="D72" s="49">
        <f t="shared" si="1"/>
        <v>0</v>
      </c>
      <c r="E72" s="50" t="str">
        <f t="shared" si="12"/>
        <v/>
      </c>
      <c r="F72" s="51" t="str">
        <f t="shared" si="9"/>
        <v/>
      </c>
      <c r="G72" s="52" t="str">
        <f>IF(E72="","",(($F$47-SUM($F$59:F72))*$F$49))</f>
        <v/>
      </c>
      <c r="H72" s="52" t="str">
        <f>IFERROR(ROUND(IF(E72="","",(H59-SUM(F59:F71))),2),"")</f>
        <v/>
      </c>
      <c r="I72" s="52"/>
      <c r="J72" s="53">
        <f t="shared" si="2"/>
        <v>0</v>
      </c>
      <c r="K72" s="131">
        <f t="shared" si="10"/>
        <v>0</v>
      </c>
      <c r="L72" s="54">
        <f t="shared" si="11"/>
        <v>7.7919519850939603E-2</v>
      </c>
      <c r="M72" s="55" t="e">
        <f t="shared" si="3"/>
        <v>#DIV/0!</v>
      </c>
      <c r="N72" s="132" t="e">
        <f t="shared" si="4"/>
        <v>#DIV/0!</v>
      </c>
      <c r="O72" s="125" t="e">
        <f t="shared" si="5"/>
        <v>#DIV/0!</v>
      </c>
      <c r="P72" s="126" t="e">
        <f t="shared" si="6"/>
        <v>#DIV/0!</v>
      </c>
      <c r="Q72" s="135" t="e">
        <f>NPV($F$51,O59:O72)</f>
        <v>#DIV/0!</v>
      </c>
      <c r="R72" s="175" t="e">
        <f t="shared" si="0"/>
        <v>#DIV/0!</v>
      </c>
      <c r="S72" s="16"/>
      <c r="T72" s="3"/>
      <c r="U72" s="1"/>
      <c r="V72" s="1"/>
      <c r="W72" s="1"/>
      <c r="X72" s="1"/>
      <c r="Y72" s="1"/>
      <c r="Z72" s="1"/>
      <c r="AA72" s="1"/>
      <c r="AB72" s="1"/>
      <c r="AC72" s="1"/>
    </row>
    <row r="73" spans="1:29" ht="15.5" x14ac:dyDescent="0.35">
      <c r="A73" s="48">
        <v>14</v>
      </c>
      <c r="B73" s="47">
        <f t="shared" si="7"/>
        <v>0</v>
      </c>
      <c r="C73" s="40">
        <f t="shared" si="8"/>
        <v>9.8309499805533523E-2</v>
      </c>
      <c r="D73" s="49">
        <f t="shared" si="1"/>
        <v>0</v>
      </c>
      <c r="E73" s="50" t="str">
        <f t="shared" si="12"/>
        <v/>
      </c>
      <c r="F73" s="51" t="str">
        <f t="shared" si="9"/>
        <v/>
      </c>
      <c r="G73" s="52" t="str">
        <f>IF(E73="","",(($F$47-SUM($F$59:F73))*$F$49))</f>
        <v/>
      </c>
      <c r="H73" s="52" t="str">
        <f>IFERROR(ROUND(IF(E73="","",(H59-SUM(F59:F72))),2),"")</f>
        <v/>
      </c>
      <c r="I73" s="52"/>
      <c r="J73" s="53">
        <f>$F$53</f>
        <v>0</v>
      </c>
      <c r="K73" s="131">
        <f t="shared" si="10"/>
        <v>0</v>
      </c>
      <c r="L73" s="54">
        <f t="shared" si="11"/>
        <v>8.7269862233052359E-2</v>
      </c>
      <c r="M73" s="55" t="e">
        <f t="shared" si="3"/>
        <v>#DIV/0!</v>
      </c>
      <c r="N73" s="132" t="e">
        <f t="shared" si="4"/>
        <v>#DIV/0!</v>
      </c>
      <c r="O73" s="125" t="e">
        <f t="shared" si="5"/>
        <v>#DIV/0!</v>
      </c>
      <c r="P73" s="126" t="e">
        <f t="shared" si="6"/>
        <v>#DIV/0!</v>
      </c>
      <c r="Q73" s="135" t="e">
        <f>NPV($F$51,O59:O73)</f>
        <v>#DIV/0!</v>
      </c>
      <c r="R73" s="175" t="e">
        <f t="shared" si="0"/>
        <v>#DIV/0!</v>
      </c>
      <c r="S73" s="16"/>
      <c r="T73" s="3"/>
      <c r="U73" s="1"/>
      <c r="V73" s="1"/>
      <c r="W73" s="1"/>
      <c r="X73" s="1"/>
      <c r="Y73" s="1"/>
      <c r="Z73" s="1"/>
      <c r="AA73" s="1"/>
      <c r="AB73" s="1"/>
      <c r="AC73" s="1"/>
    </row>
    <row r="74" spans="1:29" ht="29" x14ac:dyDescent="0.35">
      <c r="A74" s="48">
        <v>15</v>
      </c>
      <c r="B74" s="47">
        <f t="shared" si="7"/>
        <v>0</v>
      </c>
      <c r="C74" s="40">
        <f t="shared" si="8"/>
        <v>0.11010663978219756</v>
      </c>
      <c r="D74" s="49">
        <f t="shared" si="1"/>
        <v>0</v>
      </c>
      <c r="E74" s="50" t="str">
        <f t="shared" si="12"/>
        <v/>
      </c>
      <c r="F74" s="51" t="str">
        <f t="shared" si="9"/>
        <v/>
      </c>
      <c r="G74" s="52" t="str">
        <f>IF(E74="","",(($F$47-SUM($F$59:F74))*$F$49))</f>
        <v/>
      </c>
      <c r="H74" s="52" t="str">
        <f>IFERROR(ROUND(IF(E74="","",(H59-SUM(F59:F73))),2),"")</f>
        <v/>
      </c>
      <c r="I74" s="194" t="s">
        <v>77</v>
      </c>
      <c r="J74" s="53">
        <f>$F$53+F41*F52</f>
        <v>0</v>
      </c>
      <c r="K74" s="131">
        <f t="shared" si="10"/>
        <v>0</v>
      </c>
      <c r="L74" s="54">
        <f t="shared" si="11"/>
        <v>9.7742245701018651E-2</v>
      </c>
      <c r="M74" s="55" t="e">
        <f t="shared" si="3"/>
        <v>#DIV/0!</v>
      </c>
      <c r="N74" s="132" t="e">
        <f t="shared" si="4"/>
        <v>#DIV/0!</v>
      </c>
      <c r="O74" s="125" t="e">
        <f t="shared" si="5"/>
        <v>#DIV/0!</v>
      </c>
      <c r="P74" s="126" t="e">
        <f t="shared" si="6"/>
        <v>#DIV/0!</v>
      </c>
      <c r="Q74" s="135" t="e">
        <f>NPV($F$51,O59:O74)</f>
        <v>#DIV/0!</v>
      </c>
      <c r="R74" s="175" t="e">
        <f t="shared" si="0"/>
        <v>#DIV/0!</v>
      </c>
      <c r="S74" s="16"/>
      <c r="T74" s="3"/>
      <c r="U74" s="1"/>
      <c r="V74" s="1"/>
      <c r="W74" s="1"/>
      <c r="X74" s="1"/>
      <c r="Y74" s="1"/>
      <c r="Z74" s="1"/>
      <c r="AA74" s="1"/>
      <c r="AB74" s="1"/>
      <c r="AC74" s="1"/>
    </row>
    <row r="75" spans="1:29" ht="15.5" x14ac:dyDescent="0.35">
      <c r="A75" s="48">
        <v>16</v>
      </c>
      <c r="B75" s="47">
        <f t="shared" si="7"/>
        <v>0</v>
      </c>
      <c r="C75" s="40">
        <f t="shared" si="8"/>
        <v>0.12331943655606128</v>
      </c>
      <c r="D75" s="49">
        <f t="shared" si="1"/>
        <v>0</v>
      </c>
      <c r="E75" s="50" t="str">
        <f t="shared" si="12"/>
        <v/>
      </c>
      <c r="F75" s="51" t="str">
        <f t="shared" si="9"/>
        <v/>
      </c>
      <c r="G75" s="52" t="str">
        <f>IF(E75="","",(($F$47-SUM($F$59:F75))*$F$49))</f>
        <v/>
      </c>
      <c r="H75" s="52" t="str">
        <f>IFERROR(ROUND(IF(E75="","",(H59-SUM(F59:F74))),2),"")</f>
        <v/>
      </c>
      <c r="I75" s="52"/>
      <c r="J75" s="53">
        <f t="shared" ref="J75:J89" si="13">$F$53</f>
        <v>0</v>
      </c>
      <c r="K75" s="131">
        <f t="shared" si="10"/>
        <v>0</v>
      </c>
      <c r="L75" s="54">
        <f t="shared" si="11"/>
        <v>0.1094713151851409</v>
      </c>
      <c r="M75" s="55" t="e">
        <f t="shared" si="3"/>
        <v>#DIV/0!</v>
      </c>
      <c r="N75" s="132" t="e">
        <f t="shared" si="4"/>
        <v>#DIV/0!</v>
      </c>
      <c r="O75" s="125" t="e">
        <f t="shared" si="5"/>
        <v>#DIV/0!</v>
      </c>
      <c r="P75" s="126" t="e">
        <f t="shared" si="6"/>
        <v>#DIV/0!</v>
      </c>
      <c r="Q75" s="135" t="e">
        <f>NPV($F$51,O59:O75)</f>
        <v>#DIV/0!</v>
      </c>
      <c r="R75" s="175" t="e">
        <f t="shared" si="0"/>
        <v>#DIV/0!</v>
      </c>
      <c r="S75" s="16"/>
      <c r="T75" s="3"/>
      <c r="U75" s="1"/>
      <c r="V75" s="1"/>
      <c r="W75" s="1"/>
      <c r="X75" s="1"/>
      <c r="Y75" s="1"/>
      <c r="Z75" s="1"/>
      <c r="AA75" s="1"/>
      <c r="AB75" s="1"/>
      <c r="AC75" s="1"/>
    </row>
    <row r="76" spans="1:29" ht="15.5" x14ac:dyDescent="0.35">
      <c r="A76" s="48">
        <v>17</v>
      </c>
      <c r="B76" s="47">
        <f t="shared" si="7"/>
        <v>0</v>
      </c>
      <c r="C76" s="40">
        <f t="shared" si="8"/>
        <v>0.13811776894278865</v>
      </c>
      <c r="D76" s="49">
        <f t="shared" si="1"/>
        <v>0</v>
      </c>
      <c r="E76" s="50" t="str">
        <f t="shared" si="12"/>
        <v/>
      </c>
      <c r="F76" s="51" t="str">
        <f t="shared" si="9"/>
        <v/>
      </c>
      <c r="G76" s="52" t="str">
        <f>IF(E76="","",(($F$47-SUM($F$59:F76))*$F$49))</f>
        <v/>
      </c>
      <c r="H76" s="52" t="str">
        <f>IFERROR(ROUND(IF(E76="","",(H59-SUM(F59:F75))),2),"")</f>
        <v/>
      </c>
      <c r="I76" s="52"/>
      <c r="J76" s="53">
        <f t="shared" si="13"/>
        <v>0</v>
      </c>
      <c r="K76" s="131">
        <f t="shared" si="10"/>
        <v>0</v>
      </c>
      <c r="L76" s="54">
        <f t="shared" si="11"/>
        <v>0.12260787300735783</v>
      </c>
      <c r="M76" s="55" t="e">
        <f t="shared" si="3"/>
        <v>#DIV/0!</v>
      </c>
      <c r="N76" s="132" t="e">
        <f t="shared" si="4"/>
        <v>#DIV/0!</v>
      </c>
      <c r="O76" s="125" t="e">
        <f t="shared" si="5"/>
        <v>#DIV/0!</v>
      </c>
      <c r="P76" s="126" t="e">
        <f t="shared" si="6"/>
        <v>#DIV/0!</v>
      </c>
      <c r="Q76" s="135" t="e">
        <f>NPV($F$51,O59:O76)</f>
        <v>#DIV/0!</v>
      </c>
      <c r="R76" s="175" t="e">
        <f t="shared" si="0"/>
        <v>#DIV/0!</v>
      </c>
      <c r="S76" s="16"/>
      <c r="T76" s="3"/>
      <c r="U76" s="1"/>
      <c r="V76" s="1"/>
      <c r="W76" s="1"/>
      <c r="X76" s="1"/>
      <c r="Y76" s="1"/>
      <c r="Z76" s="1"/>
      <c r="AA76" s="1"/>
      <c r="AB76" s="1"/>
      <c r="AC76" s="1"/>
    </row>
    <row r="77" spans="1:29" ht="15.5" x14ac:dyDescent="0.35">
      <c r="A77" s="48">
        <v>18</v>
      </c>
      <c r="B77" s="47">
        <f t="shared" si="7"/>
        <v>0</v>
      </c>
      <c r="C77" s="40">
        <f t="shared" si="8"/>
        <v>0.1546919012159233</v>
      </c>
      <c r="D77" s="49">
        <f t="shared" si="1"/>
        <v>0</v>
      </c>
      <c r="E77" s="50" t="str">
        <f t="shared" si="12"/>
        <v/>
      </c>
      <c r="F77" s="51" t="str">
        <f t="shared" si="9"/>
        <v/>
      </c>
      <c r="G77" s="52" t="str">
        <f>IF(E77="","",(($F$47-SUM($F$59:F77))*$F$49))</f>
        <v/>
      </c>
      <c r="H77" s="52" t="str">
        <f>IFERROR(ROUND(IF(E77="","",(H59-SUM(F59:F76))),2),"")</f>
        <v/>
      </c>
      <c r="I77" s="52"/>
      <c r="J77" s="53">
        <f t="shared" si="13"/>
        <v>0</v>
      </c>
      <c r="K77" s="131">
        <f t="shared" si="10"/>
        <v>0</v>
      </c>
      <c r="L77" s="54">
        <f t="shared" si="11"/>
        <v>0.13732081776824079</v>
      </c>
      <c r="M77" s="55" t="e">
        <f t="shared" si="3"/>
        <v>#DIV/0!</v>
      </c>
      <c r="N77" s="132" t="e">
        <f t="shared" si="4"/>
        <v>#DIV/0!</v>
      </c>
      <c r="O77" s="125" t="e">
        <f t="shared" si="5"/>
        <v>#DIV/0!</v>
      </c>
      <c r="P77" s="126" t="e">
        <f t="shared" si="6"/>
        <v>#DIV/0!</v>
      </c>
      <c r="Q77" s="135" t="e">
        <f>NPV($F$51,O59:O77)</f>
        <v>#DIV/0!</v>
      </c>
      <c r="R77" s="175" t="e">
        <f t="shared" si="0"/>
        <v>#DIV/0!</v>
      </c>
      <c r="S77" s="16"/>
      <c r="T77" s="3"/>
      <c r="U77" s="1"/>
      <c r="V77" s="1"/>
      <c r="W77" s="1"/>
      <c r="X77" s="1"/>
      <c r="Y77" s="1"/>
      <c r="Z77" s="1"/>
      <c r="AA77" s="1"/>
      <c r="AB77" s="1"/>
      <c r="AC77" s="1"/>
    </row>
    <row r="78" spans="1:29" ht="15.5" x14ac:dyDescent="0.35">
      <c r="A78" s="48">
        <v>19</v>
      </c>
      <c r="B78" s="47">
        <f t="shared" si="7"/>
        <v>0</v>
      </c>
      <c r="C78" s="40">
        <f t="shared" si="8"/>
        <v>0.17325492936183412</v>
      </c>
      <c r="D78" s="49">
        <f t="shared" si="1"/>
        <v>0</v>
      </c>
      <c r="E78" s="50" t="str">
        <f t="shared" si="12"/>
        <v/>
      </c>
      <c r="F78" s="51" t="str">
        <f t="shared" si="9"/>
        <v/>
      </c>
      <c r="G78" s="52" t="str">
        <f>IF(E78="","",(($F$47-SUM($F$59:F78))*$F$49))</f>
        <v/>
      </c>
      <c r="H78" s="52" t="str">
        <f>IFERROR(ROUND(IF(E78="","",(H59-SUM(F59:F77))),2),"")</f>
        <v/>
      </c>
      <c r="I78" s="52"/>
      <c r="J78" s="53">
        <f t="shared" si="13"/>
        <v>0</v>
      </c>
      <c r="K78" s="131">
        <f t="shared" si="10"/>
        <v>0</v>
      </c>
      <c r="L78" s="54">
        <f t="shared" si="11"/>
        <v>0.1537993159004297</v>
      </c>
      <c r="M78" s="55" t="e">
        <f t="shared" si="3"/>
        <v>#DIV/0!</v>
      </c>
      <c r="N78" s="132" t="e">
        <f t="shared" si="4"/>
        <v>#DIV/0!</v>
      </c>
      <c r="O78" s="125" t="e">
        <f t="shared" si="5"/>
        <v>#DIV/0!</v>
      </c>
      <c r="P78" s="126" t="e">
        <f t="shared" si="6"/>
        <v>#DIV/0!</v>
      </c>
      <c r="Q78" s="135" t="e">
        <f>NPV($F$51,O59:O78)</f>
        <v>#DIV/0!</v>
      </c>
      <c r="R78" s="175" t="e">
        <f t="shared" si="0"/>
        <v>#DIV/0!</v>
      </c>
      <c r="S78" s="16"/>
      <c r="T78" s="3"/>
      <c r="U78" s="1"/>
      <c r="V78" s="1"/>
      <c r="W78" s="1"/>
      <c r="X78" s="1"/>
      <c r="Y78" s="1"/>
      <c r="Z78" s="1"/>
      <c r="AA78" s="1"/>
      <c r="AB78" s="1"/>
      <c r="AC78" s="1"/>
    </row>
    <row r="79" spans="1:29" ht="15.5" x14ac:dyDescent="0.35">
      <c r="A79" s="48">
        <v>20</v>
      </c>
      <c r="B79" s="47">
        <f t="shared" si="7"/>
        <v>0</v>
      </c>
      <c r="C79" s="40">
        <f t="shared" si="8"/>
        <v>0.19404552088525423</v>
      </c>
      <c r="D79" s="49">
        <f t="shared" si="1"/>
        <v>0</v>
      </c>
      <c r="E79" s="50"/>
      <c r="F79" s="51"/>
      <c r="G79" s="52" t="s">
        <v>47</v>
      </c>
      <c r="H79" s="52"/>
      <c r="I79" s="52"/>
      <c r="J79" s="53">
        <f t="shared" si="13"/>
        <v>0</v>
      </c>
      <c r="K79" s="131">
        <f t="shared" si="10"/>
        <v>0</v>
      </c>
      <c r="L79" s="54">
        <f t="shared" si="11"/>
        <v>0.17225523380848126</v>
      </c>
      <c r="M79" s="55" t="e">
        <f t="shared" si="3"/>
        <v>#DIV/0!</v>
      </c>
      <c r="N79" s="132" t="e">
        <f t="shared" si="4"/>
        <v>#DIV/0!</v>
      </c>
      <c r="O79" s="125" t="e">
        <f t="shared" si="5"/>
        <v>#DIV/0!</v>
      </c>
      <c r="P79" s="126" t="e">
        <f t="shared" si="6"/>
        <v>#DIV/0!</v>
      </c>
      <c r="Q79" s="135" t="e">
        <f>NPV($F$51,O59:O79)</f>
        <v>#DIV/0!</v>
      </c>
      <c r="R79" s="175" t="e">
        <f t="shared" si="0"/>
        <v>#DIV/0!</v>
      </c>
      <c r="S79" s="16"/>
      <c r="T79" s="3"/>
      <c r="U79" s="1"/>
      <c r="V79" s="1"/>
      <c r="W79" s="1"/>
      <c r="X79" s="1"/>
      <c r="Y79" s="1"/>
      <c r="Z79" s="1"/>
      <c r="AA79" s="1"/>
      <c r="AB79" s="1"/>
      <c r="AC79" s="1"/>
    </row>
    <row r="80" spans="1:29" ht="15.5" x14ac:dyDescent="0.35">
      <c r="A80" s="48">
        <v>21</v>
      </c>
      <c r="B80" s="47">
        <f t="shared" si="7"/>
        <v>0</v>
      </c>
      <c r="C80" s="40">
        <f t="shared" si="8"/>
        <v>0.21733098339148477</v>
      </c>
      <c r="D80" s="49">
        <f t="shared" si="1"/>
        <v>0</v>
      </c>
      <c r="E80" s="50"/>
      <c r="F80" s="51"/>
      <c r="G80" s="52" t="s">
        <v>47</v>
      </c>
      <c r="H80" s="52"/>
      <c r="I80" s="52"/>
      <c r="J80" s="53">
        <f t="shared" si="13"/>
        <v>0</v>
      </c>
      <c r="K80" s="131">
        <f t="shared" si="10"/>
        <v>0</v>
      </c>
      <c r="L80" s="54">
        <f t="shared" si="11"/>
        <v>0.19292586186549904</v>
      </c>
      <c r="M80" s="55" t="e">
        <f t="shared" si="3"/>
        <v>#DIV/0!</v>
      </c>
      <c r="N80" s="132" t="e">
        <f t="shared" si="4"/>
        <v>#DIV/0!</v>
      </c>
      <c r="O80" s="125" t="e">
        <f t="shared" si="5"/>
        <v>#DIV/0!</v>
      </c>
      <c r="P80" s="126" t="e">
        <f t="shared" si="6"/>
        <v>#DIV/0!</v>
      </c>
      <c r="Q80" s="135" t="e">
        <f>NPV($F$51,O59:O80)</f>
        <v>#DIV/0!</v>
      </c>
      <c r="R80" s="175" t="e">
        <f t="shared" si="0"/>
        <v>#DIV/0!</v>
      </c>
      <c r="S80" s="16"/>
      <c r="T80" s="3"/>
      <c r="U80" s="1"/>
      <c r="V80" s="1"/>
      <c r="W80" s="1"/>
      <c r="X80" s="1"/>
      <c r="Y80" s="1"/>
      <c r="Z80" s="1"/>
      <c r="AA80" s="1"/>
      <c r="AB80" s="1"/>
      <c r="AC80" s="1"/>
    </row>
    <row r="81" spans="1:29" ht="15.5" x14ac:dyDescent="0.35">
      <c r="A81" s="48">
        <v>22</v>
      </c>
      <c r="B81" s="47">
        <f t="shared" si="7"/>
        <v>0</v>
      </c>
      <c r="C81" s="40">
        <f t="shared" si="8"/>
        <v>0.24341070139846296</v>
      </c>
      <c r="D81" s="49">
        <f t="shared" si="1"/>
        <v>0</v>
      </c>
      <c r="E81" s="50"/>
      <c r="F81" s="51"/>
      <c r="G81" s="52" t="s">
        <v>47</v>
      </c>
      <c r="H81" s="52"/>
      <c r="I81" s="52"/>
      <c r="J81" s="53">
        <f t="shared" si="13"/>
        <v>0</v>
      </c>
      <c r="K81" s="131">
        <f t="shared" si="10"/>
        <v>0</v>
      </c>
      <c r="L81" s="54">
        <f t="shared" si="11"/>
        <v>0.21607696528935894</v>
      </c>
      <c r="M81" s="55" t="e">
        <f t="shared" si="3"/>
        <v>#DIV/0!</v>
      </c>
      <c r="N81" s="132" t="e">
        <f t="shared" si="4"/>
        <v>#DIV/0!</v>
      </c>
      <c r="O81" s="125" t="e">
        <f t="shared" si="5"/>
        <v>#DIV/0!</v>
      </c>
      <c r="P81" s="126" t="e">
        <f t="shared" si="6"/>
        <v>#DIV/0!</v>
      </c>
      <c r="Q81" s="135" t="e">
        <f>NPV($F$51,O59:O81)</f>
        <v>#DIV/0!</v>
      </c>
      <c r="R81" s="175" t="e">
        <f t="shared" si="0"/>
        <v>#DIV/0!</v>
      </c>
      <c r="S81" s="16"/>
      <c r="T81" s="3"/>
      <c r="U81" s="1"/>
      <c r="V81" s="1"/>
      <c r="W81" s="1"/>
      <c r="X81" s="1"/>
      <c r="Y81" s="1"/>
      <c r="Z81" s="1"/>
      <c r="AA81" s="1"/>
      <c r="AB81" s="1"/>
      <c r="AC81" s="1"/>
    </row>
    <row r="82" spans="1:29" ht="15.5" x14ac:dyDescent="0.35">
      <c r="A82" s="48">
        <v>23</v>
      </c>
      <c r="B82" s="47">
        <f t="shared" si="7"/>
        <v>0</v>
      </c>
      <c r="C82" s="40">
        <f t="shared" si="8"/>
        <v>0.27261998556627853</v>
      </c>
      <c r="D82" s="49">
        <f t="shared" si="1"/>
        <v>0</v>
      </c>
      <c r="E82" s="50"/>
      <c r="F82" s="51"/>
      <c r="G82" s="52" t="s">
        <v>47</v>
      </c>
      <c r="H82" s="52"/>
      <c r="I82" s="52"/>
      <c r="J82" s="53">
        <f t="shared" si="13"/>
        <v>0</v>
      </c>
      <c r="K82" s="131">
        <f t="shared" si="10"/>
        <v>0</v>
      </c>
      <c r="L82" s="54">
        <f t="shared" si="11"/>
        <v>0.24200620112408203</v>
      </c>
      <c r="M82" s="55" t="e">
        <f t="shared" si="3"/>
        <v>#DIV/0!</v>
      </c>
      <c r="N82" s="132" t="e">
        <f t="shared" si="4"/>
        <v>#DIV/0!</v>
      </c>
      <c r="O82" s="125" t="e">
        <f t="shared" si="5"/>
        <v>#DIV/0!</v>
      </c>
      <c r="P82" s="126" t="e">
        <f t="shared" si="6"/>
        <v>#DIV/0!</v>
      </c>
      <c r="Q82" s="135" t="e">
        <f>NPV($F$51,O59:O82)</f>
        <v>#DIV/0!</v>
      </c>
      <c r="R82" s="175" t="e">
        <f t="shared" si="0"/>
        <v>#DIV/0!</v>
      </c>
      <c r="S82" s="16"/>
      <c r="T82" s="3"/>
      <c r="U82" s="1"/>
      <c r="V82" s="1"/>
      <c r="W82" s="1"/>
      <c r="X82" s="1"/>
      <c r="Y82" s="1"/>
      <c r="Z82" s="1"/>
      <c r="AA82" s="1"/>
      <c r="AB82" s="1"/>
      <c r="AC82" s="1"/>
    </row>
    <row r="83" spans="1:29" ht="15.5" x14ac:dyDescent="0.35">
      <c r="A83" s="48">
        <v>24</v>
      </c>
      <c r="B83" s="47">
        <f t="shared" si="7"/>
        <v>0</v>
      </c>
      <c r="C83" s="40">
        <f t="shared" si="8"/>
        <v>0.305334383834232</v>
      </c>
      <c r="D83" s="49">
        <f t="shared" si="1"/>
        <v>0</v>
      </c>
      <c r="E83" s="50"/>
      <c r="F83" s="51"/>
      <c r="G83" s="52" t="s">
        <v>47</v>
      </c>
      <c r="H83" s="52"/>
      <c r="I83" s="52"/>
      <c r="J83" s="53">
        <f t="shared" si="13"/>
        <v>0</v>
      </c>
      <c r="K83" s="131">
        <f t="shared" si="10"/>
        <v>0</v>
      </c>
      <c r="L83" s="54">
        <f t="shared" si="11"/>
        <v>0.27104694525897188</v>
      </c>
      <c r="M83" s="55" t="e">
        <f t="shared" si="3"/>
        <v>#DIV/0!</v>
      </c>
      <c r="N83" s="132" t="e">
        <f t="shared" si="4"/>
        <v>#DIV/0!</v>
      </c>
      <c r="O83" s="125" t="e">
        <f t="shared" si="5"/>
        <v>#DIV/0!</v>
      </c>
      <c r="P83" s="126" t="e">
        <f t="shared" si="6"/>
        <v>#DIV/0!</v>
      </c>
      <c r="Q83" s="135" t="e">
        <f>NPV($F$51,O59:O83)</f>
        <v>#DIV/0!</v>
      </c>
      <c r="R83" s="175" t="e">
        <f t="shared" si="0"/>
        <v>#DIV/0!</v>
      </c>
      <c r="S83" s="16"/>
      <c r="T83" s="3"/>
      <c r="U83" s="1"/>
      <c r="V83" s="1"/>
      <c r="W83" s="1"/>
      <c r="X83" s="1"/>
      <c r="Y83" s="1"/>
      <c r="Z83" s="1"/>
      <c r="AA83" s="1"/>
      <c r="AB83" s="1"/>
      <c r="AC83" s="1"/>
    </row>
    <row r="84" spans="1:29" ht="15.5" x14ac:dyDescent="0.35">
      <c r="A84" s="48">
        <v>25</v>
      </c>
      <c r="B84" s="47">
        <f t="shared" si="7"/>
        <v>0</v>
      </c>
      <c r="C84" s="40">
        <f t="shared" si="8"/>
        <v>0.34197450989433986</v>
      </c>
      <c r="D84" s="49">
        <f t="shared" si="1"/>
        <v>0</v>
      </c>
      <c r="E84" s="50"/>
      <c r="F84" s="51"/>
      <c r="G84" s="52" t="s">
        <v>47</v>
      </c>
      <c r="H84" s="52"/>
      <c r="I84" s="52"/>
      <c r="J84" s="53">
        <f t="shared" si="13"/>
        <v>0</v>
      </c>
      <c r="K84" s="131">
        <f t="shared" si="10"/>
        <v>0</v>
      </c>
      <c r="L84" s="54">
        <f t="shared" si="11"/>
        <v>0.30357257869004856</v>
      </c>
      <c r="M84" s="55" t="e">
        <f t="shared" si="3"/>
        <v>#DIV/0!</v>
      </c>
      <c r="N84" s="132" t="e">
        <f t="shared" si="4"/>
        <v>#DIV/0!</v>
      </c>
      <c r="O84" s="125" t="e">
        <f t="shared" si="5"/>
        <v>#DIV/0!</v>
      </c>
      <c r="P84" s="126" t="e">
        <f t="shared" si="6"/>
        <v>#DIV/0!</v>
      </c>
      <c r="Q84" s="135" t="e">
        <f>NPV($F$51,O59:O84)</f>
        <v>#DIV/0!</v>
      </c>
      <c r="R84" s="175" t="e">
        <f t="shared" si="0"/>
        <v>#DIV/0!</v>
      </c>
      <c r="S84" s="16"/>
      <c r="T84" s="3"/>
      <c r="U84" s="1"/>
      <c r="V84" s="1"/>
      <c r="W84" s="1"/>
      <c r="X84" s="1"/>
      <c r="Y84" s="1"/>
      <c r="Z84" s="1"/>
      <c r="AA84" s="1"/>
      <c r="AB84" s="1"/>
      <c r="AC84" s="1"/>
    </row>
    <row r="85" spans="1:29" ht="15.5" x14ac:dyDescent="0.35">
      <c r="A85" s="48">
        <v>26</v>
      </c>
      <c r="B85" s="47">
        <f t="shared" si="7"/>
        <v>0</v>
      </c>
      <c r="C85" s="40">
        <f t="shared" si="8"/>
        <v>0.38301145108166068</v>
      </c>
      <c r="D85" s="49">
        <f t="shared" si="1"/>
        <v>0</v>
      </c>
      <c r="E85" s="50"/>
      <c r="F85" s="51"/>
      <c r="G85" s="52" t="s">
        <v>47</v>
      </c>
      <c r="H85" s="52"/>
      <c r="I85" s="52"/>
      <c r="J85" s="53">
        <f t="shared" si="13"/>
        <v>0</v>
      </c>
      <c r="K85" s="131">
        <f t="shared" si="10"/>
        <v>0</v>
      </c>
      <c r="L85" s="54">
        <f t="shared" si="11"/>
        <v>0.34000128813285441</v>
      </c>
      <c r="M85" s="55" t="e">
        <f t="shared" si="3"/>
        <v>#DIV/0!</v>
      </c>
      <c r="N85" s="132" t="e">
        <f t="shared" si="4"/>
        <v>#DIV/0!</v>
      </c>
      <c r="O85" s="125" t="e">
        <f t="shared" si="5"/>
        <v>#DIV/0!</v>
      </c>
      <c r="P85" s="126" t="e">
        <f t="shared" si="6"/>
        <v>#DIV/0!</v>
      </c>
      <c r="Q85" s="135" t="e">
        <f>NPV($F$51,O59:O85)</f>
        <v>#DIV/0!</v>
      </c>
      <c r="R85" s="175" t="e">
        <f t="shared" si="0"/>
        <v>#DIV/0!</v>
      </c>
      <c r="S85" s="16"/>
      <c r="T85" s="3"/>
      <c r="U85" s="1"/>
      <c r="V85" s="1"/>
      <c r="W85" s="1"/>
      <c r="X85" s="1"/>
      <c r="Y85" s="1"/>
      <c r="Z85" s="1"/>
      <c r="AA85" s="1"/>
      <c r="AB85" s="1"/>
      <c r="AC85" s="1"/>
    </row>
    <row r="86" spans="1:29" ht="15.5" x14ac:dyDescent="0.35">
      <c r="A86" s="48">
        <v>27</v>
      </c>
      <c r="B86" s="47">
        <f t="shared" si="7"/>
        <v>0</v>
      </c>
      <c r="C86" s="40">
        <f t="shared" si="8"/>
        <v>0.42897282521146002</v>
      </c>
      <c r="D86" s="49">
        <f t="shared" si="1"/>
        <v>0</v>
      </c>
      <c r="E86" s="50"/>
      <c r="F86" s="51"/>
      <c r="G86" s="52" t="s">
        <v>47</v>
      </c>
      <c r="H86" s="52"/>
      <c r="I86" s="52"/>
      <c r="J86" s="53">
        <f t="shared" si="13"/>
        <v>0</v>
      </c>
      <c r="K86" s="131">
        <f t="shared" si="10"/>
        <v>0</v>
      </c>
      <c r="L86" s="54">
        <f t="shared" si="11"/>
        <v>0.38080144270879696</v>
      </c>
      <c r="M86" s="55" t="e">
        <f t="shared" si="3"/>
        <v>#DIV/0!</v>
      </c>
      <c r="N86" s="132" t="e">
        <f t="shared" si="4"/>
        <v>#DIV/0!</v>
      </c>
      <c r="O86" s="125" t="e">
        <f t="shared" si="5"/>
        <v>#DIV/0!</v>
      </c>
      <c r="P86" s="126" t="e">
        <f t="shared" si="6"/>
        <v>#DIV/0!</v>
      </c>
      <c r="Q86" s="135" t="e">
        <f>NPV($F$51,O59:O86)</f>
        <v>#DIV/0!</v>
      </c>
      <c r="R86" s="175" t="e">
        <f t="shared" si="0"/>
        <v>#DIV/0!</v>
      </c>
      <c r="S86" s="16"/>
      <c r="T86" s="3"/>
      <c r="U86" s="1"/>
      <c r="V86" s="1"/>
      <c r="W86" s="1"/>
      <c r="X86" s="1"/>
      <c r="Y86" s="1"/>
      <c r="Z86" s="1"/>
      <c r="AA86" s="1"/>
      <c r="AB86" s="1"/>
      <c r="AC86" s="1"/>
    </row>
    <row r="87" spans="1:29" ht="15.5" x14ac:dyDescent="0.35">
      <c r="A87" s="48">
        <v>28</v>
      </c>
      <c r="B87" s="47">
        <f t="shared" si="7"/>
        <v>0</v>
      </c>
      <c r="C87" s="40">
        <f t="shared" si="8"/>
        <v>0.48044956423683527</v>
      </c>
      <c r="D87" s="49">
        <f t="shared" si="1"/>
        <v>0</v>
      </c>
      <c r="E87" s="50"/>
      <c r="F87" s="51"/>
      <c r="G87" s="52" t="s">
        <v>47</v>
      </c>
      <c r="H87" s="52"/>
      <c r="I87" s="52"/>
      <c r="J87" s="53">
        <f t="shared" si="13"/>
        <v>0</v>
      </c>
      <c r="K87" s="131">
        <f t="shared" si="10"/>
        <v>0</v>
      </c>
      <c r="L87" s="54">
        <f t="shared" si="11"/>
        <v>0.42649761583385265</v>
      </c>
      <c r="M87" s="55" t="e">
        <f t="shared" si="3"/>
        <v>#DIV/0!</v>
      </c>
      <c r="N87" s="132" t="e">
        <f t="shared" si="4"/>
        <v>#DIV/0!</v>
      </c>
      <c r="O87" s="125" t="e">
        <f t="shared" si="5"/>
        <v>#DIV/0!</v>
      </c>
      <c r="P87" s="126" t="e">
        <f t="shared" si="6"/>
        <v>#DIV/0!</v>
      </c>
      <c r="Q87" s="135" t="e">
        <f>NPV($F$51,O59:O87)</f>
        <v>#DIV/0!</v>
      </c>
      <c r="R87" s="176" t="e">
        <f t="shared" si="0"/>
        <v>#DIV/0!</v>
      </c>
      <c r="S87" s="16"/>
      <c r="T87" s="3"/>
      <c r="U87" s="1"/>
      <c r="V87" s="1"/>
      <c r="W87" s="1"/>
      <c r="X87" s="1"/>
      <c r="Y87" s="1"/>
      <c r="Z87" s="1"/>
      <c r="AA87" s="1"/>
      <c r="AB87" s="1"/>
      <c r="AC87" s="1"/>
    </row>
    <row r="88" spans="1:29" ht="15.5" x14ac:dyDescent="0.35">
      <c r="A88" s="48">
        <v>29</v>
      </c>
      <c r="B88" s="60">
        <f t="shared" si="7"/>
        <v>0</v>
      </c>
      <c r="C88" s="61">
        <f t="shared" si="8"/>
        <v>0.53810351194525552</v>
      </c>
      <c r="D88" s="121">
        <f t="shared" si="1"/>
        <v>0</v>
      </c>
      <c r="E88" s="62"/>
      <c r="F88" s="63"/>
      <c r="G88" s="64" t="s">
        <v>47</v>
      </c>
      <c r="H88" s="64"/>
      <c r="I88" s="64"/>
      <c r="J88" s="65">
        <f t="shared" si="13"/>
        <v>0</v>
      </c>
      <c r="K88" s="131">
        <f t="shared" si="10"/>
        <v>0</v>
      </c>
      <c r="L88" s="66">
        <f t="shared" si="11"/>
        <v>0.47767732973391502</v>
      </c>
      <c r="M88" s="127" t="e">
        <f t="shared" si="3"/>
        <v>#DIV/0!</v>
      </c>
      <c r="N88" s="133" t="e">
        <f t="shared" si="4"/>
        <v>#DIV/0!</v>
      </c>
      <c r="O88" s="125" t="e">
        <f t="shared" si="5"/>
        <v>#DIV/0!</v>
      </c>
      <c r="P88" s="128" t="e">
        <f t="shared" si="6"/>
        <v>#DIV/0!</v>
      </c>
      <c r="Q88" s="135" t="e">
        <f>NPV($F$51,O59:O88)</f>
        <v>#DIV/0!</v>
      </c>
      <c r="R88" s="177" t="e">
        <f t="shared" si="0"/>
        <v>#DIV/0!</v>
      </c>
      <c r="S88" s="16"/>
      <c r="T88" s="3"/>
      <c r="U88" s="1"/>
      <c r="V88" s="1"/>
      <c r="W88" s="1"/>
      <c r="X88" s="1"/>
      <c r="Y88" s="1"/>
      <c r="Z88" s="1"/>
      <c r="AA88" s="1"/>
      <c r="AB88" s="1"/>
      <c r="AC88" s="1"/>
    </row>
    <row r="89" spans="1:29" ht="16" thickBot="1" x14ac:dyDescent="0.4">
      <c r="A89" s="48">
        <v>30</v>
      </c>
      <c r="B89" s="60">
        <f t="shared" si="7"/>
        <v>0</v>
      </c>
      <c r="C89" s="61">
        <f t="shared" si="8"/>
        <v>0.60267593337868619</v>
      </c>
      <c r="D89" s="121">
        <f t="shared" si="1"/>
        <v>0</v>
      </c>
      <c r="E89" s="62"/>
      <c r="F89" s="63"/>
      <c r="G89" s="64" t="s">
        <v>47</v>
      </c>
      <c r="H89" s="64"/>
      <c r="I89" s="64"/>
      <c r="J89" s="65">
        <f t="shared" si="13"/>
        <v>0</v>
      </c>
      <c r="K89" s="131">
        <f t="shared" si="10"/>
        <v>0</v>
      </c>
      <c r="L89" s="66">
        <f t="shared" si="11"/>
        <v>0.53499860930198484</v>
      </c>
      <c r="M89" s="127" t="e">
        <f t="shared" si="3"/>
        <v>#DIV/0!</v>
      </c>
      <c r="N89" s="133" t="e">
        <f t="shared" si="4"/>
        <v>#DIV/0!</v>
      </c>
      <c r="O89" s="125" t="e">
        <f t="shared" si="5"/>
        <v>#DIV/0!</v>
      </c>
      <c r="P89" s="128" t="e">
        <f t="shared" si="6"/>
        <v>#DIV/0!</v>
      </c>
      <c r="Q89" s="135" t="e">
        <f>NPV($F$51,O59:O89)</f>
        <v>#DIV/0!</v>
      </c>
      <c r="R89" s="178" t="e">
        <f t="shared" si="0"/>
        <v>#DIV/0!</v>
      </c>
      <c r="S89" s="16"/>
      <c r="T89" s="3"/>
      <c r="U89" s="1"/>
      <c r="V89" s="1"/>
      <c r="W89" s="1"/>
      <c r="X89" s="1"/>
      <c r="Y89" s="1"/>
      <c r="Z89" s="1"/>
      <c r="AA89" s="1"/>
      <c r="AB89" s="1"/>
      <c r="AC89" s="1"/>
    </row>
    <row r="90" spans="1:29" ht="20.5" thickBot="1" x14ac:dyDescent="0.45">
      <c r="A90" s="67" t="s">
        <v>78</v>
      </c>
      <c r="B90" s="79">
        <f>SUM(B59:B89)</f>
        <v>0</v>
      </c>
      <c r="C90" s="80"/>
      <c r="D90" s="81">
        <f>SUM(D59:D89)</f>
        <v>0</v>
      </c>
      <c r="E90" s="82"/>
      <c r="F90" s="82"/>
      <c r="G90" s="83">
        <f>SUM(G59:G89)</f>
        <v>-1</v>
      </c>
      <c r="H90" s="83"/>
      <c r="I90" s="83"/>
      <c r="J90" s="84">
        <f>SUM(J59:J89)</f>
        <v>0</v>
      </c>
      <c r="K90" s="83">
        <f>SUM(K59:K89)</f>
        <v>-1</v>
      </c>
      <c r="L90" s="80"/>
      <c r="M90" s="83" t="e">
        <f>SUM(M59:M89)</f>
        <v>#DIV/0!</v>
      </c>
      <c r="N90" s="84" t="e">
        <f>SUM(N59:N89)</f>
        <v>#DIV/0!</v>
      </c>
      <c r="O90" s="85"/>
      <c r="P90" s="86"/>
      <c r="Q90" s="87"/>
      <c r="R90" s="179" t="e">
        <f>SUM(R59:R88)</f>
        <v>#DIV/0!</v>
      </c>
      <c r="S90" s="3"/>
      <c r="T90" s="3"/>
      <c r="U90" s="1"/>
      <c r="V90" s="1"/>
      <c r="W90" s="1"/>
      <c r="X90" s="1"/>
      <c r="Y90" s="1"/>
      <c r="Z90" s="1"/>
      <c r="AA90" s="1"/>
      <c r="AB90" s="1"/>
      <c r="AC90" s="1"/>
    </row>
    <row r="91" spans="1:29" ht="16" thickBot="1" x14ac:dyDescent="0.4">
      <c r="A91" s="1"/>
      <c r="B91" s="1"/>
      <c r="C91" s="1"/>
      <c r="D91" s="1"/>
      <c r="E91" s="1"/>
      <c r="F91" s="1"/>
      <c r="G91" s="1"/>
      <c r="H91" s="1"/>
      <c r="I91" s="1"/>
      <c r="J91" s="1"/>
      <c r="K91" s="1"/>
      <c r="L91" s="1"/>
      <c r="M91" s="17"/>
      <c r="N91" s="1"/>
      <c r="O91" s="1"/>
      <c r="P91" s="1"/>
      <c r="Q91" s="1"/>
      <c r="R91" s="1"/>
      <c r="S91" s="1"/>
      <c r="T91" s="1"/>
      <c r="U91" s="1"/>
      <c r="V91" s="1"/>
      <c r="W91" s="1"/>
      <c r="X91" s="1"/>
      <c r="Y91" s="1"/>
      <c r="Z91" s="1"/>
    </row>
    <row r="92" spans="1:29" ht="27.75" customHeight="1" thickBot="1" x14ac:dyDescent="0.4">
      <c r="A92" s="244" t="s">
        <v>79</v>
      </c>
      <c r="B92" s="245"/>
      <c r="C92" s="245"/>
      <c r="D92" s="245"/>
      <c r="E92" s="246"/>
      <c r="F92" s="1"/>
      <c r="G92" s="1"/>
      <c r="H92" s="1"/>
      <c r="I92" s="1"/>
      <c r="J92" s="1"/>
      <c r="K92" s="1"/>
      <c r="L92" s="1"/>
      <c r="M92" s="1"/>
      <c r="N92" s="1"/>
      <c r="O92" s="1"/>
      <c r="P92" s="1"/>
      <c r="Q92" s="1"/>
      <c r="R92" s="1"/>
      <c r="S92" s="1"/>
      <c r="T92" s="1"/>
      <c r="U92" s="1"/>
      <c r="V92" s="1"/>
      <c r="W92" s="1"/>
      <c r="X92" s="1"/>
      <c r="Y92" s="1"/>
      <c r="Z92" s="1"/>
    </row>
    <row r="93" spans="1:29" ht="28.5" customHeight="1" x14ac:dyDescent="0.35">
      <c r="A93" s="284" t="s">
        <v>80</v>
      </c>
      <c r="B93" s="285"/>
      <c r="C93" s="285"/>
      <c r="D93" s="286"/>
      <c r="E93" s="171" t="e">
        <f>Q89</f>
        <v>#DIV/0!</v>
      </c>
      <c r="F93" s="19"/>
      <c r="G93" s="1"/>
      <c r="H93" s="1"/>
      <c r="I93" s="1"/>
      <c r="J93" s="1"/>
      <c r="K93" s="1"/>
      <c r="L93" s="1"/>
      <c r="M93" s="1"/>
      <c r="N93" s="1"/>
      <c r="O93" s="1"/>
      <c r="P93" s="1"/>
      <c r="Q93" s="1"/>
      <c r="R93" s="1"/>
      <c r="S93" s="1"/>
      <c r="T93" s="1"/>
      <c r="U93" s="1"/>
      <c r="V93" s="1"/>
      <c r="W93" s="1"/>
      <c r="X93" s="1"/>
      <c r="Y93" s="1"/>
      <c r="Z93" s="1"/>
    </row>
    <row r="94" spans="1:29" ht="24" customHeight="1" x14ac:dyDescent="0.35">
      <c r="A94" s="314" t="s">
        <v>23</v>
      </c>
      <c r="B94" s="315"/>
      <c r="C94" s="315"/>
      <c r="D94" s="316"/>
      <c r="E94" s="172" t="e">
        <f>R90</f>
        <v>#DIV/0!</v>
      </c>
      <c r="F94" s="19"/>
      <c r="G94" s="1"/>
      <c r="H94" s="1"/>
      <c r="I94" s="1"/>
      <c r="J94" s="1"/>
      <c r="K94" s="1"/>
      <c r="L94" s="1"/>
      <c r="M94" s="1"/>
      <c r="N94" s="1"/>
      <c r="O94" s="1"/>
      <c r="P94" s="1"/>
      <c r="Q94" s="1"/>
      <c r="R94" s="1"/>
      <c r="S94" s="1"/>
      <c r="T94" s="1"/>
      <c r="U94" s="1"/>
      <c r="V94" s="1"/>
      <c r="W94" s="1"/>
      <c r="X94" s="1"/>
      <c r="Y94" s="1"/>
      <c r="Z94" s="1"/>
    </row>
    <row r="95" spans="1:29" ht="32.25" customHeight="1" thickBot="1" x14ac:dyDescent="0.4">
      <c r="A95" s="317" t="s">
        <v>81</v>
      </c>
      <c r="B95" s="318"/>
      <c r="C95" s="318"/>
      <c r="D95" s="318"/>
      <c r="E95" s="173" t="e">
        <f>IRR(O59:O89,0.1)</f>
        <v>#VALUE!</v>
      </c>
      <c r="F95" s="20"/>
      <c r="G95" s="1"/>
      <c r="H95" s="1"/>
      <c r="I95" s="1"/>
      <c r="J95" s="1"/>
      <c r="K95" s="1"/>
      <c r="L95" s="1"/>
      <c r="M95" s="1"/>
      <c r="N95" s="1"/>
      <c r="O95" s="1"/>
      <c r="P95" s="1"/>
      <c r="Q95" s="1"/>
      <c r="R95" s="1"/>
      <c r="S95" s="1"/>
      <c r="T95" s="1"/>
      <c r="U95" s="1"/>
      <c r="V95" s="1"/>
      <c r="W95" s="1"/>
      <c r="X95" s="1"/>
      <c r="Y95" s="1"/>
      <c r="Z95" s="1"/>
    </row>
    <row r="96" spans="1:29" ht="27" customHeight="1" thickBot="1" x14ac:dyDescent="0.4">
      <c r="A96" s="308" t="s">
        <v>82</v>
      </c>
      <c r="B96" s="309"/>
      <c r="C96" s="309"/>
      <c r="D96" s="309"/>
      <c r="E96" s="310"/>
      <c r="F96" s="20"/>
      <c r="G96" s="1"/>
      <c r="H96" s="1"/>
      <c r="I96" s="1"/>
      <c r="J96" s="1"/>
      <c r="K96" s="1"/>
      <c r="L96" s="1"/>
      <c r="M96" s="1"/>
      <c r="N96" s="1"/>
      <c r="O96" s="1"/>
      <c r="P96" s="1"/>
      <c r="Q96" s="1"/>
      <c r="R96" s="1"/>
      <c r="S96" s="1"/>
      <c r="T96" s="1"/>
      <c r="U96" s="1"/>
      <c r="V96" s="1"/>
      <c r="W96" s="1"/>
      <c r="X96" s="1"/>
      <c r="Y96" s="1"/>
      <c r="Z96" s="1"/>
    </row>
    <row r="97" spans="1:26" ht="31.5" customHeight="1" x14ac:dyDescent="0.35">
      <c r="A97" s="319" t="s">
        <v>83</v>
      </c>
      <c r="B97" s="320"/>
      <c r="C97" s="320"/>
      <c r="D97" s="321"/>
      <c r="E97" s="74" t="e">
        <f>K90*100/B90</f>
        <v>#DIV/0!</v>
      </c>
      <c r="F97" s="72"/>
      <c r="G97" s="1"/>
      <c r="H97" s="1"/>
      <c r="I97" s="1"/>
      <c r="J97" s="1"/>
      <c r="K97" s="1"/>
      <c r="L97" s="1"/>
      <c r="M97" s="1"/>
      <c r="N97" s="1"/>
      <c r="O97" s="1"/>
      <c r="P97" s="1"/>
      <c r="Q97" s="1"/>
      <c r="R97" s="1"/>
      <c r="S97" s="1"/>
      <c r="T97" s="1"/>
      <c r="U97" s="1"/>
      <c r="V97" s="1"/>
      <c r="W97" s="1"/>
      <c r="X97" s="1"/>
      <c r="Y97" s="1"/>
      <c r="Z97" s="1"/>
    </row>
    <row r="98" spans="1:26" ht="29.25" customHeight="1" x14ac:dyDescent="0.35">
      <c r="A98" s="267" t="s">
        <v>84</v>
      </c>
      <c r="B98" s="265"/>
      <c r="C98" s="265"/>
      <c r="D98" s="266"/>
      <c r="E98" s="71">
        <f>AVERAGE(C59:C89)*100</f>
        <v>18.124084594003556</v>
      </c>
      <c r="F98" s="73"/>
      <c r="G98" s="1"/>
      <c r="H98" s="1"/>
      <c r="I98" s="1"/>
      <c r="J98" s="1"/>
      <c r="K98" s="1"/>
      <c r="L98" s="1"/>
      <c r="M98" s="1"/>
      <c r="N98" s="1"/>
      <c r="O98" s="1"/>
      <c r="P98" s="1"/>
      <c r="Q98" s="1"/>
      <c r="R98" s="1"/>
      <c r="S98" s="1"/>
      <c r="T98" s="1"/>
      <c r="U98" s="1"/>
      <c r="V98" s="1"/>
      <c r="W98" s="1"/>
      <c r="X98" s="1"/>
      <c r="Y98" s="1"/>
      <c r="Z98" s="1"/>
    </row>
    <row r="99" spans="1:26" ht="15.5"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 thickBot="1" x14ac:dyDescent="0.4">
      <c r="A100" s="4" t="s">
        <v>47</v>
      </c>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5" thickBot="1" x14ac:dyDescent="0.45">
      <c r="A101" s="311" t="s">
        <v>85</v>
      </c>
      <c r="B101" s="312"/>
      <c r="C101" s="312"/>
      <c r="D101" s="313"/>
      <c r="J101" s="1"/>
      <c r="K101" s="1"/>
      <c r="L101" s="1"/>
      <c r="M101" s="1"/>
      <c r="N101" s="1"/>
      <c r="O101" s="1"/>
      <c r="P101" s="1"/>
      <c r="Q101" s="1"/>
      <c r="R101" s="1"/>
      <c r="S101" s="1"/>
      <c r="T101" s="1"/>
      <c r="U101" s="1"/>
      <c r="V101" s="1"/>
      <c r="W101" s="1"/>
      <c r="X101" s="1"/>
      <c r="Y101" s="1"/>
      <c r="Z101" s="1"/>
    </row>
    <row r="102" spans="1:26" ht="15.5" x14ac:dyDescent="0.35">
      <c r="A102" s="268" t="s">
        <v>86</v>
      </c>
      <c r="B102" s="268"/>
      <c r="C102" s="268"/>
      <c r="D102" s="75">
        <f>158</f>
        <v>158</v>
      </c>
      <c r="E102" s="78" t="s">
        <v>87</v>
      </c>
      <c r="F102" s="21" t="s">
        <v>47</v>
      </c>
      <c r="I102" s="22"/>
      <c r="J102" s="1"/>
      <c r="K102" s="1"/>
      <c r="L102" s="1"/>
      <c r="M102" s="1"/>
      <c r="N102" s="1"/>
      <c r="O102" s="1"/>
      <c r="P102" s="1"/>
      <c r="Q102" s="1"/>
      <c r="R102" s="1"/>
      <c r="S102" s="1"/>
      <c r="T102" s="1"/>
      <c r="U102" s="1"/>
      <c r="V102" s="1"/>
      <c r="W102" s="1"/>
      <c r="X102" s="1"/>
      <c r="Y102" s="1"/>
      <c r="Z102" s="1"/>
    </row>
    <row r="103" spans="1:26" ht="15.5" x14ac:dyDescent="0.35">
      <c r="A103" s="268" t="s">
        <v>88</v>
      </c>
      <c r="B103" s="268"/>
      <c r="C103" s="268"/>
      <c r="D103" s="76">
        <v>164</v>
      </c>
      <c r="E103" s="78" t="s">
        <v>87</v>
      </c>
      <c r="J103" s="1"/>
      <c r="K103" s="1"/>
      <c r="L103" s="1"/>
      <c r="M103" s="1"/>
      <c r="N103" s="1"/>
      <c r="O103" s="1"/>
      <c r="P103" s="1"/>
      <c r="Q103" s="1"/>
      <c r="R103" s="1"/>
      <c r="S103" s="1"/>
      <c r="T103" s="1"/>
      <c r="U103" s="1"/>
      <c r="V103" s="1"/>
      <c r="W103" s="1"/>
      <c r="X103" s="1"/>
      <c r="Y103" s="1"/>
      <c r="Z103" s="1"/>
    </row>
    <row r="104" spans="1:26" ht="15.5" x14ac:dyDescent="0.35">
      <c r="A104" s="268" t="s">
        <v>89</v>
      </c>
      <c r="B104" s="268"/>
      <c r="C104" s="268"/>
      <c r="D104" s="77">
        <v>261.72000000000003</v>
      </c>
      <c r="E104" s="78" t="s">
        <v>87</v>
      </c>
      <c r="J104" s="1"/>
      <c r="K104" s="1"/>
      <c r="L104" s="1"/>
      <c r="M104" s="1"/>
      <c r="N104" s="1"/>
      <c r="O104" s="1"/>
      <c r="P104" s="1"/>
      <c r="Q104" s="1"/>
      <c r="R104" s="1"/>
      <c r="S104" s="1"/>
      <c r="T104" s="1"/>
      <c r="U104" s="1"/>
      <c r="V104" s="1"/>
      <c r="W104" s="1"/>
      <c r="X104" s="1"/>
      <c r="Y104" s="1"/>
      <c r="Z104" s="1"/>
    </row>
    <row r="105" spans="1:26" ht="15.5" x14ac:dyDescent="0.35">
      <c r="A105" s="269" t="s">
        <v>90</v>
      </c>
      <c r="B105" s="269"/>
      <c r="C105" s="269"/>
      <c r="D105" s="77">
        <f>(F29*D102)/1000</f>
        <v>0</v>
      </c>
      <c r="E105" s="78" t="s">
        <v>91</v>
      </c>
      <c r="F105" s="21" t="s">
        <v>47</v>
      </c>
      <c r="J105" s="1"/>
      <c r="K105" s="1"/>
      <c r="L105" s="1"/>
      <c r="M105" s="1"/>
      <c r="N105" s="1"/>
      <c r="O105" s="1"/>
      <c r="P105" s="1"/>
      <c r="Q105" s="1"/>
      <c r="R105" s="1"/>
      <c r="S105" s="1"/>
      <c r="T105" s="1"/>
      <c r="U105" s="1"/>
      <c r="V105" s="1"/>
      <c r="W105" s="1"/>
      <c r="X105" s="1"/>
      <c r="Y105" s="1"/>
      <c r="Z105" s="1"/>
    </row>
    <row r="106" spans="1:26" ht="38.25" customHeight="1" x14ac:dyDescent="0.35">
      <c r="A106" s="270" t="s">
        <v>92</v>
      </c>
      <c r="B106" s="269"/>
      <c r="C106" s="269"/>
      <c r="D106" s="77">
        <f>(F29*D102)/1000-0</f>
        <v>0</v>
      </c>
      <c r="E106" s="78" t="s">
        <v>91</v>
      </c>
      <c r="J106" s="1"/>
      <c r="K106" s="1"/>
      <c r="L106" s="1"/>
      <c r="M106" s="1"/>
      <c r="N106" s="1"/>
      <c r="O106" s="1"/>
      <c r="P106" s="1"/>
      <c r="Q106" s="1"/>
      <c r="R106" s="1"/>
      <c r="S106" s="1"/>
      <c r="T106" s="1"/>
      <c r="U106" s="1"/>
      <c r="V106" s="1"/>
      <c r="W106" s="1"/>
      <c r="X106" s="1"/>
      <c r="Y106" s="1"/>
      <c r="Z106" s="1"/>
    </row>
    <row r="107" spans="1:26" ht="15.5" x14ac:dyDescent="0.35">
      <c r="A107" s="23" t="s">
        <v>47</v>
      </c>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 thickBot="1" x14ac:dyDescent="0.4">
      <c r="A108" s="18"/>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5" thickBot="1" x14ac:dyDescent="0.45">
      <c r="A109" s="68" t="s">
        <v>93</v>
      </c>
      <c r="B109" s="69"/>
      <c r="C109" s="69"/>
      <c r="D109" s="70"/>
      <c r="E109" s="1"/>
      <c r="F109" s="1"/>
      <c r="G109" s="1"/>
      <c r="H109" s="1"/>
      <c r="I109" s="1"/>
      <c r="J109" s="1"/>
      <c r="K109" s="1"/>
      <c r="L109" s="1"/>
      <c r="M109" s="1"/>
      <c r="N109" s="1"/>
      <c r="O109" s="1"/>
      <c r="P109" s="1"/>
      <c r="Q109" s="1"/>
      <c r="R109" s="1"/>
      <c r="S109" s="1"/>
      <c r="T109" s="1"/>
      <c r="U109" s="1"/>
      <c r="V109" s="1"/>
      <c r="W109" s="1"/>
      <c r="X109" s="1"/>
      <c r="Y109" s="1"/>
      <c r="Z109" s="1"/>
    </row>
    <row r="110" spans="1:26" ht="15.5" x14ac:dyDescent="0.35">
      <c r="A110" s="271" t="s">
        <v>94</v>
      </c>
      <c r="B110" s="262"/>
      <c r="C110" s="263"/>
      <c r="D110" s="91">
        <f>F25*1000</f>
        <v>0</v>
      </c>
      <c r="E110" s="3"/>
      <c r="F110" s="1"/>
      <c r="G110" s="1"/>
      <c r="H110" s="1"/>
      <c r="I110" s="1"/>
      <c r="J110" s="1"/>
      <c r="K110" s="1"/>
      <c r="L110" s="1"/>
      <c r="M110" s="1"/>
      <c r="N110" s="1"/>
      <c r="O110" s="1"/>
      <c r="P110" s="1"/>
      <c r="Q110" s="1"/>
      <c r="R110" s="1"/>
      <c r="S110" s="1"/>
      <c r="T110" s="1"/>
      <c r="U110" s="1"/>
      <c r="V110" s="1"/>
      <c r="W110" s="1"/>
      <c r="X110" s="1"/>
      <c r="Y110" s="1"/>
      <c r="Z110" s="1"/>
    </row>
    <row r="111" spans="1:26" ht="15.5" x14ac:dyDescent="0.35">
      <c r="A111" s="272" t="s">
        <v>95</v>
      </c>
      <c r="B111" s="242"/>
      <c r="C111" s="243"/>
      <c r="D111" s="31">
        <v>0.18</v>
      </c>
      <c r="E111" s="3"/>
      <c r="F111" s="198" t="s">
        <v>96</v>
      </c>
      <c r="G111" s="198"/>
      <c r="H111" s="198"/>
      <c r="I111" s="1"/>
      <c r="J111" s="1"/>
      <c r="K111" s="159" t="s">
        <v>97</v>
      </c>
      <c r="L111" s="1"/>
      <c r="M111" s="1"/>
      <c r="N111" s="1"/>
      <c r="O111" s="1"/>
      <c r="P111" s="1"/>
      <c r="Q111" s="1"/>
      <c r="R111" s="1"/>
      <c r="S111" s="1"/>
      <c r="T111" s="1"/>
      <c r="U111" s="1"/>
      <c r="V111" s="1"/>
      <c r="W111" s="1"/>
      <c r="X111" s="1"/>
      <c r="Y111" s="1"/>
      <c r="Z111" s="1"/>
    </row>
    <row r="112" spans="1:26" ht="15.5" x14ac:dyDescent="0.35">
      <c r="A112" s="273" t="s">
        <v>98</v>
      </c>
      <c r="B112" s="274"/>
      <c r="C112" s="275"/>
      <c r="D112" s="152">
        <v>0.4</v>
      </c>
      <c r="E112" s="1"/>
      <c r="F112" s="198" t="s">
        <v>99</v>
      </c>
      <c r="G112" s="198"/>
      <c r="H112" s="198"/>
      <c r="I112" s="1"/>
      <c r="J112" s="1"/>
      <c r="K112" s="1"/>
      <c r="L112" s="1"/>
      <c r="M112" s="1"/>
      <c r="N112" s="1"/>
      <c r="O112" s="1"/>
      <c r="P112" s="1"/>
      <c r="Q112" s="1"/>
      <c r="R112" s="1"/>
      <c r="S112" s="1"/>
      <c r="T112" s="1"/>
      <c r="U112" s="1"/>
      <c r="V112" s="1"/>
      <c r="W112" s="1"/>
      <c r="X112" s="1"/>
      <c r="Y112" s="1"/>
      <c r="Z112" s="1"/>
    </row>
    <row r="113" spans="1:26" ht="15.5" x14ac:dyDescent="0.35">
      <c r="A113" s="276" t="s">
        <v>100</v>
      </c>
      <c r="B113" s="242"/>
      <c r="C113" s="243"/>
      <c r="D113" s="36">
        <f>F26</f>
        <v>0</v>
      </c>
      <c r="E113" s="4"/>
      <c r="F113" s="1"/>
      <c r="G113" s="1"/>
      <c r="H113" s="1"/>
      <c r="I113" s="1"/>
      <c r="J113" s="1"/>
      <c r="K113" s="1"/>
      <c r="L113" s="1"/>
      <c r="M113" s="1"/>
      <c r="N113" s="1"/>
      <c r="O113" s="1"/>
      <c r="P113" s="1"/>
      <c r="Q113" s="1"/>
      <c r="R113" s="1"/>
      <c r="S113" s="1"/>
      <c r="T113" s="1"/>
      <c r="U113" s="1"/>
      <c r="V113" s="1"/>
      <c r="W113" s="1"/>
      <c r="X113" s="1"/>
      <c r="Y113" s="1"/>
      <c r="Z113" s="1"/>
    </row>
    <row r="114" spans="1:26" ht="15.5" x14ac:dyDescent="0.35">
      <c r="A114" s="8"/>
      <c r="B114" s="9"/>
      <c r="C114" s="9"/>
      <c r="D114" s="10"/>
      <c r="E114" s="1"/>
      <c r="F114" s="1"/>
      <c r="G114" s="1"/>
      <c r="H114" s="1"/>
      <c r="I114" s="1"/>
      <c r="J114" s="1"/>
      <c r="K114" s="1"/>
      <c r="L114" s="1"/>
      <c r="M114" s="1"/>
      <c r="N114" s="1"/>
      <c r="O114" s="1"/>
      <c r="P114" s="1"/>
      <c r="Q114" s="1"/>
      <c r="R114" s="1"/>
      <c r="S114" s="1"/>
      <c r="T114" s="1"/>
      <c r="U114" s="1"/>
      <c r="V114" s="1"/>
      <c r="W114" s="1"/>
      <c r="X114" s="1"/>
      <c r="Y114" s="1"/>
      <c r="Z114" s="1"/>
    </row>
    <row r="115" spans="1:26" ht="15.5" x14ac:dyDescent="0.35">
      <c r="A115" s="2"/>
      <c r="B115" s="1"/>
      <c r="C115" s="1"/>
      <c r="D115" s="170" t="s">
        <v>101</v>
      </c>
      <c r="E115" s="1"/>
      <c r="F115" s="1"/>
      <c r="G115" s="170" t="s">
        <v>101</v>
      </c>
      <c r="H115" s="1"/>
      <c r="I115" s="1"/>
      <c r="J115" s="1"/>
      <c r="K115" s="1"/>
      <c r="L115" s="1"/>
      <c r="M115" s="1"/>
      <c r="N115" s="1"/>
      <c r="O115" s="1"/>
      <c r="P115" s="1"/>
      <c r="Q115" s="1"/>
      <c r="R115" s="1"/>
      <c r="S115" s="1"/>
      <c r="T115" s="1"/>
      <c r="U115" s="1"/>
      <c r="V115" s="1"/>
      <c r="W115" s="1"/>
      <c r="X115" s="1"/>
      <c r="Y115" s="1"/>
      <c r="Z115" s="1"/>
    </row>
    <row r="116" spans="1:26" ht="56" x14ac:dyDescent="0.35">
      <c r="A116" s="45" t="s">
        <v>102</v>
      </c>
      <c r="B116" s="46" t="s">
        <v>103</v>
      </c>
      <c r="C116" s="46" t="s">
        <v>104</v>
      </c>
      <c r="D116" s="46" t="s">
        <v>105</v>
      </c>
      <c r="E116" s="46" t="s">
        <v>106</v>
      </c>
      <c r="F116" s="46" t="s">
        <v>107</v>
      </c>
      <c r="G116" s="148" t="s">
        <v>108</v>
      </c>
      <c r="H116" s="46" t="s">
        <v>109</v>
      </c>
      <c r="I116" s="46" t="s">
        <v>110</v>
      </c>
      <c r="J116" s="46" t="s">
        <v>111</v>
      </c>
      <c r="K116" s="46" t="s">
        <v>112</v>
      </c>
      <c r="L116" s="46" t="s">
        <v>113</v>
      </c>
      <c r="M116" s="3"/>
      <c r="N116" s="1"/>
      <c r="O116" s="1"/>
      <c r="P116" s="1"/>
      <c r="Q116" s="1"/>
      <c r="R116" s="1"/>
      <c r="S116" s="1"/>
      <c r="T116" s="1"/>
      <c r="U116" s="1"/>
      <c r="V116" s="1"/>
      <c r="W116" s="1"/>
      <c r="X116" s="1"/>
      <c r="Y116" s="1"/>
      <c r="Z116" s="1"/>
    </row>
    <row r="117" spans="1:26" ht="15.5" x14ac:dyDescent="0.35">
      <c r="A117" s="147" t="s">
        <v>114</v>
      </c>
      <c r="B117" s="146">
        <v>31</v>
      </c>
      <c r="C117" s="37">
        <f>0.09*F22</f>
        <v>0</v>
      </c>
      <c r="D117" s="187"/>
      <c r="E117" s="38">
        <f>($F$18*10)</f>
        <v>22.53</v>
      </c>
      <c r="F117" s="38">
        <f>$F$38*10</f>
        <v>20</v>
      </c>
      <c r="G117" s="189"/>
      <c r="H117" s="39">
        <f t="shared" ref="H117:H128" si="14">IF(C117*$D$112-G117&gt;0, G117,$D$112*C117)</f>
        <v>0</v>
      </c>
      <c r="I117" s="39">
        <f t="shared" ref="I117:I128" si="15">G117-H117</f>
        <v>0</v>
      </c>
      <c r="J117" s="39">
        <f t="shared" ref="J117:J128" si="16">C117-H117</f>
        <v>0</v>
      </c>
      <c r="K117" s="40">
        <f t="shared" ref="K117:K128" si="17">G117*E117/1000</f>
        <v>0</v>
      </c>
      <c r="L117" s="40">
        <f t="shared" ref="L117:L128" si="18">I117*F117/1000</f>
        <v>0</v>
      </c>
      <c r="M117" s="3"/>
      <c r="N117" s="1"/>
      <c r="O117" s="1"/>
      <c r="P117" s="1"/>
      <c r="Q117" s="1"/>
      <c r="R117" s="1"/>
      <c r="S117" s="1"/>
      <c r="T117" s="1"/>
      <c r="U117" s="1"/>
      <c r="V117" s="1"/>
      <c r="W117" s="1"/>
      <c r="X117" s="1"/>
      <c r="Y117" s="1"/>
      <c r="Z117" s="1"/>
    </row>
    <row r="118" spans="1:26" ht="15.5" x14ac:dyDescent="0.35">
      <c r="A118" s="147" t="s">
        <v>115</v>
      </c>
      <c r="B118" s="146">
        <v>28</v>
      </c>
      <c r="C118" s="37">
        <f>0.09*F22</f>
        <v>0</v>
      </c>
      <c r="D118" s="187"/>
      <c r="E118" s="38">
        <f t="shared" ref="E118:E128" si="19">($F$18*10)</f>
        <v>22.53</v>
      </c>
      <c r="F118" s="38">
        <f t="shared" ref="F118:F128" si="20">$F$38*10</f>
        <v>20</v>
      </c>
      <c r="G118" s="189"/>
      <c r="H118" s="39">
        <f t="shared" si="14"/>
        <v>0</v>
      </c>
      <c r="I118" s="39">
        <f t="shared" si="15"/>
        <v>0</v>
      </c>
      <c r="J118" s="39">
        <f t="shared" si="16"/>
        <v>0</v>
      </c>
      <c r="K118" s="40">
        <f t="shared" si="17"/>
        <v>0</v>
      </c>
      <c r="L118" s="40">
        <f t="shared" si="18"/>
        <v>0</v>
      </c>
      <c r="M118" s="3"/>
      <c r="N118" s="1"/>
      <c r="O118" s="1"/>
      <c r="P118" s="1"/>
      <c r="Q118" s="1"/>
      <c r="R118" s="1"/>
      <c r="S118" s="1"/>
      <c r="T118" s="1"/>
      <c r="U118" s="1"/>
      <c r="V118" s="1"/>
      <c r="W118" s="1"/>
      <c r="X118" s="1"/>
      <c r="Y118" s="1"/>
      <c r="Z118" s="1"/>
    </row>
    <row r="119" spans="1:26" ht="15.5" x14ac:dyDescent="0.35">
      <c r="A119" s="147" t="s">
        <v>116</v>
      </c>
      <c r="B119" s="146">
        <v>31</v>
      </c>
      <c r="C119" s="37">
        <f>0.084*F22</f>
        <v>0</v>
      </c>
      <c r="D119" s="187"/>
      <c r="E119" s="38">
        <f t="shared" si="19"/>
        <v>22.53</v>
      </c>
      <c r="F119" s="38">
        <f t="shared" si="20"/>
        <v>20</v>
      </c>
      <c r="G119" s="189"/>
      <c r="H119" s="39">
        <f t="shared" si="14"/>
        <v>0</v>
      </c>
      <c r="I119" s="39">
        <f t="shared" si="15"/>
        <v>0</v>
      </c>
      <c r="J119" s="39">
        <f t="shared" si="16"/>
        <v>0</v>
      </c>
      <c r="K119" s="40">
        <f t="shared" si="17"/>
        <v>0</v>
      </c>
      <c r="L119" s="40">
        <f t="shared" si="18"/>
        <v>0</v>
      </c>
      <c r="M119" s="3"/>
      <c r="N119" s="1"/>
      <c r="O119" s="1"/>
      <c r="P119" s="1"/>
      <c r="Q119" s="1"/>
      <c r="R119" s="1"/>
      <c r="S119" s="1"/>
      <c r="T119" s="1"/>
      <c r="U119" s="1"/>
      <c r="V119" s="1"/>
      <c r="W119" s="1"/>
      <c r="X119" s="1"/>
      <c r="Y119" s="1"/>
      <c r="Z119" s="1"/>
    </row>
    <row r="120" spans="1:26" ht="15.5" x14ac:dyDescent="0.35">
      <c r="A120" s="147" t="s">
        <v>117</v>
      </c>
      <c r="B120" s="146">
        <v>30</v>
      </c>
      <c r="C120" s="37">
        <f>0.084*F22</f>
        <v>0</v>
      </c>
      <c r="D120" s="187"/>
      <c r="E120" s="38">
        <f t="shared" si="19"/>
        <v>22.53</v>
      </c>
      <c r="F120" s="38">
        <f t="shared" si="20"/>
        <v>20</v>
      </c>
      <c r="G120" s="189"/>
      <c r="H120" s="39">
        <f t="shared" si="14"/>
        <v>0</v>
      </c>
      <c r="I120" s="39">
        <f t="shared" si="15"/>
        <v>0</v>
      </c>
      <c r="J120" s="39">
        <f t="shared" si="16"/>
        <v>0</v>
      </c>
      <c r="K120" s="40">
        <f t="shared" si="17"/>
        <v>0</v>
      </c>
      <c r="L120" s="40">
        <f t="shared" si="18"/>
        <v>0</v>
      </c>
      <c r="M120" s="3"/>
      <c r="N120" s="1"/>
      <c r="O120" s="1"/>
      <c r="P120" s="1"/>
      <c r="Q120" s="1"/>
      <c r="R120" s="1"/>
      <c r="S120" s="1"/>
      <c r="T120" s="1"/>
      <c r="U120" s="1"/>
      <c r="V120" s="1"/>
      <c r="W120" s="1"/>
      <c r="X120" s="1"/>
      <c r="Y120" s="1"/>
      <c r="Z120" s="1"/>
    </row>
    <row r="121" spans="1:26" ht="15.5" x14ac:dyDescent="0.35">
      <c r="A121" s="147" t="s">
        <v>118</v>
      </c>
      <c r="B121" s="146">
        <v>31</v>
      </c>
      <c r="C121" s="37">
        <f>0.079*F22</f>
        <v>0</v>
      </c>
      <c r="D121" s="187"/>
      <c r="E121" s="38">
        <f t="shared" si="19"/>
        <v>22.53</v>
      </c>
      <c r="F121" s="38">
        <f t="shared" si="20"/>
        <v>20</v>
      </c>
      <c r="G121" s="189"/>
      <c r="H121" s="39">
        <f t="shared" si="14"/>
        <v>0</v>
      </c>
      <c r="I121" s="39">
        <f t="shared" si="15"/>
        <v>0</v>
      </c>
      <c r="J121" s="39">
        <f t="shared" si="16"/>
        <v>0</v>
      </c>
      <c r="K121" s="40">
        <f t="shared" si="17"/>
        <v>0</v>
      </c>
      <c r="L121" s="40">
        <f t="shared" si="18"/>
        <v>0</v>
      </c>
      <c r="M121" s="3"/>
      <c r="N121" s="1"/>
      <c r="O121" s="1"/>
      <c r="P121" s="1"/>
      <c r="Q121" s="1"/>
      <c r="R121" s="1"/>
      <c r="S121" s="1"/>
      <c r="T121" s="1"/>
      <c r="U121" s="1"/>
      <c r="V121" s="1"/>
      <c r="W121" s="1"/>
      <c r="X121" s="1"/>
      <c r="Y121" s="1"/>
      <c r="Z121" s="1"/>
    </row>
    <row r="122" spans="1:26" ht="15.5" x14ac:dyDescent="0.35">
      <c r="A122" s="147" t="s">
        <v>119</v>
      </c>
      <c r="B122" s="146">
        <v>30</v>
      </c>
      <c r="C122" s="37">
        <f>0.07*F22</f>
        <v>0</v>
      </c>
      <c r="D122" s="187"/>
      <c r="E122" s="38">
        <f t="shared" si="19"/>
        <v>22.53</v>
      </c>
      <c r="F122" s="38">
        <f t="shared" si="20"/>
        <v>20</v>
      </c>
      <c r="G122" s="189"/>
      <c r="H122" s="39">
        <f t="shared" si="14"/>
        <v>0</v>
      </c>
      <c r="I122" s="39">
        <f t="shared" si="15"/>
        <v>0</v>
      </c>
      <c r="J122" s="39">
        <f t="shared" si="16"/>
        <v>0</v>
      </c>
      <c r="K122" s="40">
        <f t="shared" si="17"/>
        <v>0</v>
      </c>
      <c r="L122" s="40">
        <f t="shared" si="18"/>
        <v>0</v>
      </c>
      <c r="M122" s="3"/>
      <c r="N122" s="1"/>
      <c r="O122" s="1"/>
      <c r="P122" s="1"/>
      <c r="Q122" s="1"/>
      <c r="R122" s="1"/>
      <c r="S122" s="1"/>
      <c r="T122" s="1"/>
      <c r="U122" s="1"/>
      <c r="V122" s="1"/>
      <c r="W122" s="1"/>
      <c r="X122" s="1"/>
      <c r="Y122" s="1"/>
      <c r="Z122" s="1"/>
    </row>
    <row r="123" spans="1:26" ht="15.5" x14ac:dyDescent="0.35">
      <c r="A123" s="147" t="s">
        <v>120</v>
      </c>
      <c r="B123" s="146">
        <v>31</v>
      </c>
      <c r="C123" s="37">
        <f>0.07*F22</f>
        <v>0</v>
      </c>
      <c r="D123" s="187"/>
      <c r="E123" s="38">
        <f t="shared" si="19"/>
        <v>22.53</v>
      </c>
      <c r="F123" s="38">
        <f t="shared" si="20"/>
        <v>20</v>
      </c>
      <c r="G123" s="189"/>
      <c r="H123" s="39">
        <f t="shared" si="14"/>
        <v>0</v>
      </c>
      <c r="I123" s="39">
        <f t="shared" si="15"/>
        <v>0</v>
      </c>
      <c r="J123" s="39">
        <f t="shared" si="16"/>
        <v>0</v>
      </c>
      <c r="K123" s="40">
        <f t="shared" si="17"/>
        <v>0</v>
      </c>
      <c r="L123" s="40">
        <f t="shared" si="18"/>
        <v>0</v>
      </c>
      <c r="M123" s="3"/>
      <c r="N123" s="1"/>
      <c r="O123" s="1"/>
      <c r="P123" s="1"/>
      <c r="Q123" s="1"/>
      <c r="R123" s="1"/>
      <c r="S123" s="1"/>
      <c r="T123" s="1"/>
      <c r="U123" s="1"/>
      <c r="V123" s="1"/>
      <c r="W123" s="1"/>
      <c r="X123" s="1"/>
      <c r="Y123" s="1"/>
      <c r="Z123" s="1"/>
    </row>
    <row r="124" spans="1:26" ht="15.5" x14ac:dyDescent="0.35">
      <c r="A124" s="147" t="s">
        <v>121</v>
      </c>
      <c r="B124" s="146">
        <v>31</v>
      </c>
      <c r="C124" s="37">
        <f>0.079*F22</f>
        <v>0</v>
      </c>
      <c r="D124" s="187"/>
      <c r="E124" s="38">
        <f t="shared" si="19"/>
        <v>22.53</v>
      </c>
      <c r="F124" s="38">
        <f t="shared" si="20"/>
        <v>20</v>
      </c>
      <c r="G124" s="189"/>
      <c r="H124" s="39">
        <f t="shared" si="14"/>
        <v>0</v>
      </c>
      <c r="I124" s="39">
        <f t="shared" si="15"/>
        <v>0</v>
      </c>
      <c r="J124" s="39">
        <f t="shared" si="16"/>
        <v>0</v>
      </c>
      <c r="K124" s="40">
        <f t="shared" si="17"/>
        <v>0</v>
      </c>
      <c r="L124" s="40">
        <f t="shared" si="18"/>
        <v>0</v>
      </c>
      <c r="M124" s="3"/>
      <c r="N124" s="1"/>
      <c r="O124" s="1"/>
      <c r="P124" s="1"/>
      <c r="Q124" s="1"/>
      <c r="R124" s="1"/>
      <c r="S124" s="1"/>
      <c r="T124" s="1"/>
      <c r="U124" s="1"/>
      <c r="V124" s="1"/>
      <c r="W124" s="1"/>
      <c r="X124" s="1"/>
      <c r="Y124" s="1"/>
      <c r="Z124" s="1"/>
    </row>
    <row r="125" spans="1:26" ht="15.5" x14ac:dyDescent="0.35">
      <c r="A125" s="147" t="s">
        <v>122</v>
      </c>
      <c r="B125" s="146">
        <v>30</v>
      </c>
      <c r="C125" s="37">
        <f>0.084*F22</f>
        <v>0</v>
      </c>
      <c r="D125" s="187"/>
      <c r="E125" s="38">
        <f t="shared" si="19"/>
        <v>22.53</v>
      </c>
      <c r="F125" s="38">
        <f t="shared" si="20"/>
        <v>20</v>
      </c>
      <c r="G125" s="189"/>
      <c r="H125" s="39">
        <f t="shared" si="14"/>
        <v>0</v>
      </c>
      <c r="I125" s="39">
        <f t="shared" si="15"/>
        <v>0</v>
      </c>
      <c r="J125" s="39">
        <f t="shared" si="16"/>
        <v>0</v>
      </c>
      <c r="K125" s="40">
        <f t="shared" si="17"/>
        <v>0</v>
      </c>
      <c r="L125" s="40">
        <f t="shared" si="18"/>
        <v>0</v>
      </c>
      <c r="M125" s="3"/>
      <c r="N125" s="1"/>
      <c r="O125" s="1"/>
      <c r="P125" s="1"/>
      <c r="Q125" s="1"/>
      <c r="R125" s="1"/>
      <c r="S125" s="1"/>
      <c r="T125" s="1"/>
      <c r="U125" s="1"/>
      <c r="V125" s="1"/>
      <c r="W125" s="1"/>
      <c r="X125" s="1"/>
      <c r="Y125" s="1"/>
      <c r="Z125" s="1"/>
    </row>
    <row r="126" spans="1:26" ht="15.5" x14ac:dyDescent="0.35">
      <c r="A126" s="147" t="s">
        <v>123</v>
      </c>
      <c r="B126" s="146">
        <v>31</v>
      </c>
      <c r="C126" s="37">
        <f>0.09*F22</f>
        <v>0</v>
      </c>
      <c r="D126" s="187"/>
      <c r="E126" s="38">
        <f t="shared" si="19"/>
        <v>22.53</v>
      </c>
      <c r="F126" s="38">
        <f t="shared" si="20"/>
        <v>20</v>
      </c>
      <c r="G126" s="189"/>
      <c r="H126" s="39">
        <f t="shared" si="14"/>
        <v>0</v>
      </c>
      <c r="I126" s="39">
        <f t="shared" si="15"/>
        <v>0</v>
      </c>
      <c r="J126" s="39">
        <f t="shared" si="16"/>
        <v>0</v>
      </c>
      <c r="K126" s="40">
        <f t="shared" si="17"/>
        <v>0</v>
      </c>
      <c r="L126" s="40">
        <f t="shared" si="18"/>
        <v>0</v>
      </c>
      <c r="M126" s="3"/>
      <c r="N126" s="1"/>
      <c r="O126" s="1"/>
      <c r="P126" s="1"/>
      <c r="Q126" s="1"/>
      <c r="R126" s="1"/>
      <c r="S126" s="1"/>
      <c r="T126" s="1"/>
      <c r="U126" s="1"/>
      <c r="V126" s="1"/>
      <c r="W126" s="1"/>
      <c r="X126" s="1"/>
      <c r="Y126" s="1"/>
      <c r="Z126" s="1"/>
    </row>
    <row r="127" spans="1:26" ht="15.5" x14ac:dyDescent="0.35">
      <c r="A127" s="147" t="s">
        <v>124</v>
      </c>
      <c r="B127" s="146">
        <v>30</v>
      </c>
      <c r="C127" s="37">
        <f>0.09*F22</f>
        <v>0</v>
      </c>
      <c r="D127" s="187"/>
      <c r="E127" s="38">
        <f t="shared" si="19"/>
        <v>22.53</v>
      </c>
      <c r="F127" s="38">
        <f t="shared" si="20"/>
        <v>20</v>
      </c>
      <c r="G127" s="189"/>
      <c r="H127" s="39">
        <f t="shared" si="14"/>
        <v>0</v>
      </c>
      <c r="I127" s="39">
        <f t="shared" si="15"/>
        <v>0</v>
      </c>
      <c r="J127" s="39">
        <f t="shared" si="16"/>
        <v>0</v>
      </c>
      <c r="K127" s="40">
        <f t="shared" si="17"/>
        <v>0</v>
      </c>
      <c r="L127" s="40">
        <f t="shared" si="18"/>
        <v>0</v>
      </c>
      <c r="M127" s="3"/>
      <c r="N127" s="1"/>
      <c r="O127" s="1"/>
      <c r="P127" s="1"/>
      <c r="Q127" s="1"/>
      <c r="R127" s="1"/>
      <c r="S127" s="1"/>
      <c r="T127" s="1"/>
      <c r="U127" s="1"/>
      <c r="V127" s="1"/>
      <c r="W127" s="1"/>
      <c r="X127" s="1"/>
      <c r="Y127" s="1"/>
      <c r="Z127" s="1"/>
    </row>
    <row r="128" spans="1:26" ht="16" thickBot="1" x14ac:dyDescent="0.4">
      <c r="A128" s="147" t="s">
        <v>125</v>
      </c>
      <c r="B128" s="146">
        <v>31</v>
      </c>
      <c r="C128" s="157">
        <f>0.09*F22</f>
        <v>0</v>
      </c>
      <c r="D128" s="188"/>
      <c r="E128" s="38">
        <f t="shared" si="19"/>
        <v>22.53</v>
      </c>
      <c r="F128" s="38">
        <f t="shared" si="20"/>
        <v>20</v>
      </c>
      <c r="G128" s="190"/>
      <c r="H128" s="39">
        <f t="shared" si="14"/>
        <v>0</v>
      </c>
      <c r="I128" s="39">
        <f t="shared" si="15"/>
        <v>0</v>
      </c>
      <c r="J128" s="39">
        <f t="shared" si="16"/>
        <v>0</v>
      </c>
      <c r="K128" s="40">
        <f t="shared" si="17"/>
        <v>0</v>
      </c>
      <c r="L128" s="40">
        <f t="shared" si="18"/>
        <v>0</v>
      </c>
      <c r="M128" s="3"/>
      <c r="N128" s="1"/>
      <c r="O128" s="1"/>
      <c r="P128" s="1"/>
      <c r="Q128" s="1"/>
      <c r="R128" s="1"/>
      <c r="S128" s="1"/>
      <c r="T128" s="1"/>
      <c r="U128" s="1"/>
      <c r="V128" s="1"/>
      <c r="W128" s="1"/>
      <c r="X128" s="1"/>
      <c r="Y128" s="1"/>
      <c r="Z128" s="1"/>
    </row>
    <row r="129" spans="1:26" ht="16" thickBot="1" x14ac:dyDescent="0.4">
      <c r="A129" s="24" t="s">
        <v>78</v>
      </c>
      <c r="B129" s="156">
        <f t="shared" ref="B129:C129" si="21">SUM(B117:B128)</f>
        <v>365</v>
      </c>
      <c r="C129" s="158">
        <f t="shared" si="21"/>
        <v>0</v>
      </c>
      <c r="D129" s="155">
        <f>SUM(D117:D128)</f>
        <v>0</v>
      </c>
      <c r="E129" s="1"/>
      <c r="F129" s="1"/>
      <c r="G129" s="154">
        <f t="shared" ref="G129:L129" si="22">SUM(G117:G128)</f>
        <v>0</v>
      </c>
      <c r="H129" s="153">
        <f t="shared" si="22"/>
        <v>0</v>
      </c>
      <c r="I129" s="41">
        <f t="shared" si="22"/>
        <v>0</v>
      </c>
      <c r="J129" s="41">
        <f t="shared" si="22"/>
        <v>0</v>
      </c>
      <c r="K129" s="42">
        <f t="shared" si="22"/>
        <v>0</v>
      </c>
      <c r="L129" s="42">
        <f t="shared" si="22"/>
        <v>0</v>
      </c>
      <c r="M129" s="3"/>
      <c r="N129" s="1"/>
      <c r="O129" s="1"/>
      <c r="P129" s="1"/>
      <c r="Q129" s="1"/>
      <c r="R129" s="1"/>
      <c r="S129" s="1"/>
      <c r="T129" s="1"/>
      <c r="U129" s="1"/>
      <c r="V129" s="1"/>
      <c r="W129" s="1"/>
      <c r="X129" s="1"/>
      <c r="Y129" s="1"/>
      <c r="Z129" s="1"/>
    </row>
    <row r="130" spans="1:26" ht="15.5" x14ac:dyDescent="0.35">
      <c r="A130" s="25"/>
      <c r="B130" s="26"/>
      <c r="C130" s="1" t="s">
        <v>47</v>
      </c>
      <c r="D130" s="1"/>
      <c r="E130" s="27"/>
      <c r="G130" s="90"/>
      <c r="H130" s="1"/>
      <c r="I130" s="1"/>
      <c r="J130" s="17"/>
      <c r="K130" s="28"/>
      <c r="L130" s="28"/>
      <c r="M130" s="29"/>
      <c r="N130" s="1"/>
      <c r="O130" s="1"/>
      <c r="P130" s="1"/>
      <c r="Q130" s="1"/>
      <c r="R130" s="1"/>
      <c r="S130" s="1"/>
      <c r="T130" s="1"/>
      <c r="U130" s="1"/>
      <c r="V130" s="1"/>
      <c r="W130" s="1"/>
      <c r="X130" s="1"/>
      <c r="Y130" s="1"/>
      <c r="Z130" s="1"/>
    </row>
    <row r="131" spans="1:26" ht="15.5" x14ac:dyDescent="0.35">
      <c r="A131" s="277" t="s">
        <v>126</v>
      </c>
      <c r="B131" s="278"/>
      <c r="C131" s="279"/>
      <c r="D131" s="44">
        <f>G129</f>
        <v>0</v>
      </c>
      <c r="E131" s="1"/>
      <c r="F131" s="1"/>
      <c r="G131" s="1"/>
      <c r="H131" s="1"/>
      <c r="I131" s="1"/>
      <c r="J131" s="1"/>
      <c r="K131" s="1"/>
      <c r="L131" s="1"/>
      <c r="M131" s="1"/>
      <c r="N131" s="1"/>
      <c r="O131" s="1"/>
      <c r="P131" s="1"/>
      <c r="Q131" s="1"/>
      <c r="R131" s="1"/>
      <c r="S131" s="1"/>
      <c r="T131" s="1"/>
      <c r="U131" s="1"/>
      <c r="V131" s="1"/>
      <c r="W131" s="1"/>
      <c r="X131" s="1"/>
      <c r="Y131" s="1"/>
      <c r="Z131" s="1"/>
    </row>
    <row r="132" spans="1:26" ht="21.75" customHeight="1" x14ac:dyDescent="0.35">
      <c r="A132" s="264" t="s">
        <v>127</v>
      </c>
      <c r="B132" s="265"/>
      <c r="C132" s="266"/>
      <c r="D132" s="43" t="e">
        <f>I129/G129</f>
        <v>#DIV/0!</v>
      </c>
      <c r="E132" s="1"/>
      <c r="F132" s="1"/>
      <c r="G132" s="1"/>
      <c r="H132" s="1"/>
      <c r="I132" s="1"/>
      <c r="J132" s="1"/>
      <c r="K132" s="1"/>
      <c r="L132" s="1"/>
      <c r="M132" s="1"/>
      <c r="N132" s="1"/>
      <c r="O132" s="1"/>
      <c r="P132" s="1"/>
      <c r="Q132" s="1"/>
      <c r="R132" s="1"/>
      <c r="S132" s="1"/>
      <c r="T132" s="1"/>
      <c r="U132" s="1"/>
      <c r="V132" s="1"/>
      <c r="W132" s="1"/>
      <c r="X132" s="1"/>
      <c r="Y132" s="1"/>
      <c r="Z132" s="1"/>
    </row>
    <row r="133" spans="1:26" ht="15.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5" x14ac:dyDescent="0.35">
      <c r="A136" s="4"/>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5" x14ac:dyDescent="0.35">
      <c r="A137" s="4"/>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5"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5"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5"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5"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5"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5"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5"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5"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5"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5"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5"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5"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5"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5"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5"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5"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5"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5"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5"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5"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5"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5"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5"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5"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5"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5"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5"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5"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5"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5"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5"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5"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5"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5"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5"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5"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5"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5"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5"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5"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5"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5"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5"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5"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5"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5"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5"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5"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5"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5"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5"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5"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5"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5"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5"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5"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5"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5"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5"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5"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5"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5"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5"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5"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5"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5"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5"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5"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5"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5"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5"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5"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5"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5"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5"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5"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5"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5"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5"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5"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5"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5"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5"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5"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5"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5"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5"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5"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5"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5"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5"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5"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5"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5"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5"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5"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5"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5"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5"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5"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5"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5"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5"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5"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5"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5"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5"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5"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5"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5"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5"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5"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5"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5"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5"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5"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5"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5"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5"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5"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5"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5"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5"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5"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5"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5"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5"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5"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5"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5"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5"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5"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5"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5"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5"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5"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5"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5"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5"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5"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5"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5"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5"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5"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5"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5"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5"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5"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5"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5"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5"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5"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5"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5"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5"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5"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5"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5"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5"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5"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5"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5"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5"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5"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5"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5"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5"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5"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5"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5"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5"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5"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5"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5"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5"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5"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5"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5"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5"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5"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5"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5"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5"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5"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5"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5"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5"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5"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5"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5"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5"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5"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5"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5"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5"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5"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5"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5"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5"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5"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5"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5"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5"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5"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5"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5"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5"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5"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5"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5"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5"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5"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5"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5"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5"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5"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5"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5"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5"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5"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5"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5"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5"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5"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5"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5"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5"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5"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5"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5"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5"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5"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5"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5"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5"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5"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5"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5"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5"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5"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5" x14ac:dyDescent="0.3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5" x14ac:dyDescent="0.3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5" x14ac:dyDescent="0.3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5" x14ac:dyDescent="0.3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5" x14ac:dyDescent="0.3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5" x14ac:dyDescent="0.3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5" x14ac:dyDescent="0.3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5" x14ac:dyDescent="0.3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5" x14ac:dyDescent="0.3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5" x14ac:dyDescent="0.3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5" x14ac:dyDescent="0.3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5" x14ac:dyDescent="0.3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5" x14ac:dyDescent="0.3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5" x14ac:dyDescent="0.3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5" x14ac:dyDescent="0.3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5" x14ac:dyDescent="0.3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5" x14ac:dyDescent="0.3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5" x14ac:dyDescent="0.3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5.5" x14ac:dyDescent="0.3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sheetData>
  <mergeCells count="81">
    <mergeCell ref="A1:B2"/>
    <mergeCell ref="H14:J15"/>
    <mergeCell ref="A48:E48"/>
    <mergeCell ref="A42:E42"/>
    <mergeCell ref="A45:E45"/>
    <mergeCell ref="A47:E47"/>
    <mergeCell ref="A29:E29"/>
    <mergeCell ref="A35:E35"/>
    <mergeCell ref="A38:E38"/>
    <mergeCell ref="A41:E41"/>
    <mergeCell ref="A46:E46"/>
    <mergeCell ref="A20:E20"/>
    <mergeCell ref="A21:E21"/>
    <mergeCell ref="A43:E43"/>
    <mergeCell ref="A40:F40"/>
    <mergeCell ref="A28:E28"/>
    <mergeCell ref="G26:G27"/>
    <mergeCell ref="A96:E96"/>
    <mergeCell ref="A101:D101"/>
    <mergeCell ref="A94:D94"/>
    <mergeCell ref="A95:D95"/>
    <mergeCell ref="A97:D97"/>
    <mergeCell ref="F26:F27"/>
    <mergeCell ref="A36:E37"/>
    <mergeCell ref="F36:F37"/>
    <mergeCell ref="G36:G37"/>
    <mergeCell ref="A32:B34"/>
    <mergeCell ref="A31:E31"/>
    <mergeCell ref="A26:E27"/>
    <mergeCell ref="O24:P24"/>
    <mergeCell ref="K24:M24"/>
    <mergeCell ref="L57:N57"/>
    <mergeCell ref="A93:D93"/>
    <mergeCell ref="A50:E50"/>
    <mergeCell ref="A51:E51"/>
    <mergeCell ref="A52:E52"/>
    <mergeCell ref="A53:E53"/>
    <mergeCell ref="A57:B57"/>
    <mergeCell ref="C57:D57"/>
    <mergeCell ref="E57:K57"/>
    <mergeCell ref="A92:E92"/>
    <mergeCell ref="A55:G56"/>
    <mergeCell ref="A49:E49"/>
    <mergeCell ref="A44:E44"/>
    <mergeCell ref="O57:R57"/>
    <mergeCell ref="A132:C132"/>
    <mergeCell ref="A98:D98"/>
    <mergeCell ref="A102:C102"/>
    <mergeCell ref="A103:C103"/>
    <mergeCell ref="A104:C104"/>
    <mergeCell ref="A105:C105"/>
    <mergeCell ref="A106:C106"/>
    <mergeCell ref="A110:C110"/>
    <mergeCell ref="A111:C111"/>
    <mergeCell ref="A112:C112"/>
    <mergeCell ref="A113:C113"/>
    <mergeCell ref="A131:C131"/>
    <mergeCell ref="A13:F13"/>
    <mergeCell ref="A18:E18"/>
    <mergeCell ref="A19:E19"/>
    <mergeCell ref="A22:E22"/>
    <mergeCell ref="A25:E25"/>
    <mergeCell ref="A14:E14"/>
    <mergeCell ref="A15:E15"/>
    <mergeCell ref="A16:E16"/>
    <mergeCell ref="M32:O34"/>
    <mergeCell ref="H36:O37"/>
    <mergeCell ref="H38:O38"/>
    <mergeCell ref="H53:K54"/>
    <mergeCell ref="E6:F8"/>
    <mergeCell ref="E10:F11"/>
    <mergeCell ref="A30:F30"/>
    <mergeCell ref="H26:O27"/>
    <mergeCell ref="H28:O28"/>
    <mergeCell ref="H29:O29"/>
    <mergeCell ref="A6:C6"/>
    <mergeCell ref="B11:C11"/>
    <mergeCell ref="K32:L34"/>
    <mergeCell ref="A17:E17"/>
    <mergeCell ref="A24:F24"/>
    <mergeCell ref="O22:P22"/>
  </mergeCells>
  <hyperlinks>
    <hyperlink ref="I16" r:id="rId1" xr:uid="{B70F3073-1ED8-4B33-9B87-477317E87FCE}"/>
  </hyperlinks>
  <pageMargins left="0.7" right="0.7" top="0.75" bottom="0.75" header="0.3" footer="0.3"/>
  <pageSetup paperSize="9"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c9e0df8-b05e-4f8d-be25-ed5823d59427">
      <Terms xmlns="http://schemas.microsoft.com/office/infopath/2007/PartnerControls"/>
    </lcf76f155ced4ddcb4097134ff3c332f>
    <TaxCatchAll xmlns="1a2309d5-4d99-4dfa-82de-a38dcf4171f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BF0949FD996DCD4C969C1AF8FBBD6E8F" ma:contentTypeVersion="16" ma:contentTypeDescription="Luo uusi asiakirja." ma:contentTypeScope="" ma:versionID="7200bb598e7ecf53b90b765b5f2953aa">
  <xsd:schema xmlns:xsd="http://www.w3.org/2001/XMLSchema" xmlns:xs="http://www.w3.org/2001/XMLSchema" xmlns:p="http://schemas.microsoft.com/office/2006/metadata/properties" xmlns:ns2="0c9e0df8-b05e-4f8d-be25-ed5823d59427" xmlns:ns3="1a2309d5-4d99-4dfa-82de-a38dcf4171fd" targetNamespace="http://schemas.microsoft.com/office/2006/metadata/properties" ma:root="true" ma:fieldsID="a3ab060b204a9c186d12ff66ba26118c" ns2:_="" ns3:_="">
    <xsd:import namespace="0c9e0df8-b05e-4f8d-be25-ed5823d59427"/>
    <xsd:import namespace="1a2309d5-4d99-4dfa-82de-a38dcf4171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e0df8-b05e-4f8d-be25-ed5823d59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Kuvien tunnisteet" ma:readOnly="false" ma:fieldId="{5cf76f15-5ced-4ddc-b409-7134ff3c332f}" ma:taxonomyMulti="true" ma:sspId="3c5529c5-a027-4c82-ab4e-2b087dfb9f53"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2309d5-4d99-4dfa-82de-a38dcf4171f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2565083-9840-4fd7-b0f4-1f44a400f1bd}" ma:internalName="TaxCatchAll" ma:showField="CatchAllData" ma:web="1a2309d5-4d99-4dfa-82de-a38dcf4171fd">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35B926-E59C-4E1A-9C4D-B4CB9540A75A}">
  <ds:schemaRefs>
    <ds:schemaRef ds:uri="http://purl.org/dc/terms/"/>
    <ds:schemaRef ds:uri="http://schemas.openxmlformats.org/package/2006/metadata/core-properties"/>
    <ds:schemaRef ds:uri="http://schemas.microsoft.com/office/2006/metadata/properties"/>
    <ds:schemaRef ds:uri="http://purl.org/dc/elements/1.1/"/>
    <ds:schemaRef ds:uri="http://www.w3.org/XML/1998/namespace"/>
    <ds:schemaRef ds:uri="http://schemas.microsoft.com/office/2006/documentManagement/types"/>
    <ds:schemaRef ds:uri="http://purl.org/dc/dcmitype/"/>
    <ds:schemaRef ds:uri="0c9e0df8-b05e-4f8d-be25-ed5823d59427"/>
    <ds:schemaRef ds:uri="http://schemas.microsoft.com/office/infopath/2007/PartnerControls"/>
    <ds:schemaRef ds:uri="1a2309d5-4d99-4dfa-82de-a38dcf4171fd"/>
  </ds:schemaRefs>
</ds:datastoreItem>
</file>

<file path=customXml/itemProps2.xml><?xml version="1.0" encoding="utf-8"?>
<ds:datastoreItem xmlns:ds="http://schemas.openxmlformats.org/officeDocument/2006/customXml" ds:itemID="{9F80F986-AAC3-4786-9473-14EBE7A3B648}">
  <ds:schemaRefs>
    <ds:schemaRef ds:uri="http://schemas.microsoft.com/sharepoint/v3/contenttype/forms"/>
  </ds:schemaRefs>
</ds:datastoreItem>
</file>

<file path=customXml/itemProps3.xml><?xml version="1.0" encoding="utf-8"?>
<ds:datastoreItem xmlns:ds="http://schemas.openxmlformats.org/officeDocument/2006/customXml" ds:itemID="{E5DB4FF3-8DC0-4077-87B4-4C2FC0E893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EVISA_calculator_ENG</vt:lpstr>
    </vt:vector>
  </TitlesOfParts>
  <Manager/>
  <Company>Suomen ymp?rist?keskus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Rummukainen Miika</dc:creator>
  <cp:keywords/>
  <dc:description/>
  <cp:lastModifiedBy>Victor Pavlov</cp:lastModifiedBy>
  <cp:revision/>
  <dcterms:created xsi:type="dcterms:W3CDTF">2020-08-21T12:14:27Z</dcterms:created>
  <dcterms:modified xsi:type="dcterms:W3CDTF">2022-12-20T08:02:37Z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0x010100BF0949FD996DCD4C969C1AF8FBBD6E8F</vt:lpwstr>
  </property>
  <property fmtid="{D5CDD505-2E9C-101B-9397-08002B2CF9AE}" pid="3" name="MediaServiceImageTags">
    <vt:lpwstr/>
  </property>
</Properties>
</file>